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defaultThemeVersion="166925"/>
  <mc:AlternateContent xmlns:mc="http://schemas.openxmlformats.org/markup-compatibility/2006">
    <mc:Choice Requires="x15">
      <x15ac:absPath xmlns:x15ac="http://schemas.microsoft.com/office/spreadsheetml/2010/11/ac" url="https://ncconnect-my.sharepoint.com/personal/cristalle_dickerson_nc_gov/Documents/CAB/"/>
    </mc:Choice>
  </mc:AlternateContent>
  <xr:revisionPtr revIDLastSave="0" documentId="8_{C85E0BC5-530A-4575-B49C-B4268D30FEAB}" xr6:coauthVersionLast="47" xr6:coauthVersionMax="47" xr10:uidLastSave="{00000000-0000-0000-0000-000000000000}"/>
  <workbookProtection workbookAlgorithmName="SHA-512" workbookHashValue="RECPVJDUhOrModLc8d8NPUaTdlxo8Y2LljfRHz94Fj1q+ivl4oPHesDDGsy7mKnD+fxRQzSKMXb1ajxlBBfpYw==" workbookSaltValue="HHW/V2seJfmxgERdLnTL7w==" workbookSpinCount="100000" lockStructure="1"/>
  <bookViews>
    <workbookView xWindow="-120" yWindow="-120" windowWidth="29040" windowHeight="15720" tabRatio="627" xr2:uid="{5FBB5574-448B-4F88-91F0-AE6F99134803}"/>
  </bookViews>
  <sheets>
    <sheet name="County Calculator" sheetId="14" r:id="rId1"/>
    <sheet name="County Commitment Forms-Max-Min" sheetId="11" state="hidden" r:id="rId2"/>
    <sheet name="County Contribution Actual" sheetId="12" state="hidden" r:id="rId3"/>
    <sheet name="County Funding Level " sheetId="10" state="hidden" r:id="rId4"/>
    <sheet name="County Commitment Forms-Actual" sheetId="9" state="hidden" r:id="rId5"/>
    <sheet name="Logic Sheet" sheetId="15" state="hidden" r:id="rId6"/>
  </sheets>
  <definedNames>
    <definedName name="_xlnm._FilterDatabase" localSheetId="4" hidden="1">'County Commitment Forms-Actual'!$A$2:$O$102</definedName>
    <definedName name="_xlnm._FilterDatabase" localSheetId="1" hidden="1">'County Commitment Forms-Max-Min'!$A$3:$X$31</definedName>
    <definedName name="_xlnm._FilterDatabase" localSheetId="3" hidden="1">'County Funding Level '!$A$2:$C$102</definedName>
    <definedName name="CopyProviderShare">#REF!</definedName>
    <definedName name="Difference">#REF!</definedName>
    <definedName name="PasteProviderShare">#REF!</definedName>
    <definedName name="ProjectSizeCopy">#REF!</definedName>
    <definedName name="ProjectSizePaste">#REF!</definedName>
  </definedNames>
  <calcPr calcId="191028" iterateDelta="1.0000000000000001E-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1" l="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J76" i="11" s="1"/>
  <c r="D77" i="11"/>
  <c r="J77" i="11" s="1"/>
  <c r="D78" i="11"/>
  <c r="D79" i="11"/>
  <c r="J79" i="11" s="1"/>
  <c r="D80" i="11"/>
  <c r="D81" i="11"/>
  <c r="J81" i="11" s="1"/>
  <c r="D82" i="11"/>
  <c r="J82" i="11" s="1"/>
  <c r="D83" i="11"/>
  <c r="D84" i="11"/>
  <c r="J84" i="11" s="1"/>
  <c r="D85" i="11"/>
  <c r="J85" i="11" s="1"/>
  <c r="D86" i="11"/>
  <c r="J86" i="11" s="1"/>
  <c r="D87" i="11"/>
  <c r="J87" i="11" s="1"/>
  <c r="D88" i="11"/>
  <c r="D89" i="11"/>
  <c r="J89" i="11" s="1"/>
  <c r="D90" i="11"/>
  <c r="J90" i="11" s="1"/>
  <c r="D91" i="11"/>
  <c r="J91" i="11" s="1"/>
  <c r="D92" i="11"/>
  <c r="J92" i="11" s="1"/>
  <c r="D93" i="11"/>
  <c r="J93" i="11" s="1"/>
  <c r="D94" i="11"/>
  <c r="J94" i="11" s="1"/>
  <c r="D95" i="11"/>
  <c r="J95" i="11" s="1"/>
  <c r="D96" i="11"/>
  <c r="D97" i="11"/>
  <c r="J97" i="11" s="1"/>
  <c r="D98" i="11"/>
  <c r="J98" i="11" s="1"/>
  <c r="D99" i="11"/>
  <c r="J99" i="11" s="1"/>
  <c r="D100" i="11"/>
  <c r="J100" i="11" s="1"/>
  <c r="D101" i="11"/>
  <c r="J101" i="11" s="1"/>
  <c r="D102" i="11"/>
  <c r="J102" i="11" s="1"/>
  <c r="D103" i="11"/>
  <c r="J103" i="11" s="1"/>
  <c r="D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8" i="11"/>
  <c r="J80" i="11"/>
  <c r="J83" i="11"/>
  <c r="J88" i="11"/>
  <c r="J96" i="11"/>
  <c r="F2" i="15"/>
  <c r="B2" i="15"/>
  <c r="D16" i="14"/>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4" i="11"/>
  <c r="B20" i="14" s="1"/>
  <c r="B31" i="9"/>
  <c r="K102" i="9"/>
  <c r="K101" i="9"/>
  <c r="K100" i="9"/>
  <c r="K99" i="9"/>
  <c r="K98" i="9"/>
  <c r="K97" i="9"/>
  <c r="K96" i="9"/>
  <c r="K95" i="9"/>
  <c r="K30" i="9"/>
  <c r="K94" i="9"/>
  <c r="K29" i="9"/>
  <c r="K93" i="9"/>
  <c r="K92" i="9"/>
  <c r="K28" i="9"/>
  <c r="K91" i="9"/>
  <c r="K90" i="9"/>
  <c r="K27" i="9"/>
  <c r="K89" i="9"/>
  <c r="K88" i="9"/>
  <c r="K87" i="9"/>
  <c r="K86" i="9"/>
  <c r="K85" i="9"/>
  <c r="K84" i="9"/>
  <c r="K83" i="9"/>
  <c r="K82" i="9"/>
  <c r="K26" i="9"/>
  <c r="K25" i="9"/>
  <c r="K24" i="9"/>
  <c r="K23" i="9"/>
  <c r="K81" i="9"/>
  <c r="K22" i="9"/>
  <c r="K21" i="9"/>
  <c r="K80" i="9"/>
  <c r="K79" i="9"/>
  <c r="K78" i="9"/>
  <c r="K77" i="9"/>
  <c r="K76" i="9"/>
  <c r="K75" i="9"/>
  <c r="K74" i="9"/>
  <c r="K73" i="9"/>
  <c r="K72" i="9"/>
  <c r="K20" i="9"/>
  <c r="K71" i="9"/>
  <c r="K70" i="9"/>
  <c r="K69" i="9"/>
  <c r="K68" i="9"/>
  <c r="K67" i="9"/>
  <c r="K19" i="9"/>
  <c r="K18" i="9"/>
  <c r="K66" i="9"/>
  <c r="K65" i="9"/>
  <c r="K64" i="9"/>
  <c r="K63" i="9"/>
  <c r="K62" i="9"/>
  <c r="K61" i="9"/>
  <c r="K60" i="9"/>
  <c r="K17" i="9"/>
  <c r="K16" i="9"/>
  <c r="K59" i="9"/>
  <c r="K58" i="9"/>
  <c r="K57" i="9"/>
  <c r="K15" i="9"/>
  <c r="K56" i="9"/>
  <c r="K14" i="9"/>
  <c r="K55" i="9"/>
  <c r="K13" i="9"/>
  <c r="K54" i="9"/>
  <c r="K12" i="9"/>
  <c r="K53" i="9"/>
  <c r="K52" i="9"/>
  <c r="K51" i="9"/>
  <c r="K50" i="9"/>
  <c r="C50" i="11"/>
  <c r="C51" i="11"/>
  <c r="C52" i="11"/>
  <c r="E52" i="11" s="1"/>
  <c r="R52" i="11" s="1"/>
  <c r="C53" i="11"/>
  <c r="E53" i="11" s="1"/>
  <c r="R53" i="11" s="1"/>
  <c r="C54" i="11"/>
  <c r="E54" i="11" s="1"/>
  <c r="R54" i="11" s="1"/>
  <c r="C13" i="11"/>
  <c r="E13" i="11" s="1"/>
  <c r="C55" i="11"/>
  <c r="E55" i="11" s="1"/>
  <c r="R55" i="11" s="1"/>
  <c r="C14" i="11"/>
  <c r="C56" i="11"/>
  <c r="E56" i="11" s="1"/>
  <c r="C15" i="11"/>
  <c r="C57" i="11"/>
  <c r="E57" i="11" s="1"/>
  <c r="R57" i="11" s="1"/>
  <c r="C16" i="11"/>
  <c r="E16" i="11" s="1"/>
  <c r="R16" i="11" s="1"/>
  <c r="C58" i="11"/>
  <c r="E58" i="11" s="1"/>
  <c r="R58" i="11" s="1"/>
  <c r="C59" i="11"/>
  <c r="E59" i="11" s="1"/>
  <c r="R59" i="11" s="1"/>
  <c r="C60" i="11"/>
  <c r="C17" i="11"/>
  <c r="E17" i="11" s="1"/>
  <c r="R17" i="11" s="1"/>
  <c r="C18" i="11"/>
  <c r="E18" i="11" s="1"/>
  <c r="R18" i="11" s="1"/>
  <c r="C61" i="11"/>
  <c r="C62" i="11"/>
  <c r="E62" i="11" s="1"/>
  <c r="R62" i="11" s="1"/>
  <c r="C63" i="11"/>
  <c r="E63" i="11" s="1"/>
  <c r="R63" i="11" s="1"/>
  <c r="C64" i="11"/>
  <c r="E64" i="11" s="1"/>
  <c r="R64" i="11" s="1"/>
  <c r="C65" i="11"/>
  <c r="E65" i="11" s="1"/>
  <c r="R65" i="11" s="1"/>
  <c r="C66" i="11"/>
  <c r="C67" i="11"/>
  <c r="C19" i="11"/>
  <c r="C20" i="11"/>
  <c r="E20" i="11" s="1"/>
  <c r="R20" i="11" s="1"/>
  <c r="C68" i="11"/>
  <c r="G68" i="11" s="1"/>
  <c r="O68" i="11" s="1"/>
  <c r="C69" i="11"/>
  <c r="E69" i="11" s="1"/>
  <c r="R69" i="11" s="1"/>
  <c r="C70" i="11"/>
  <c r="E70" i="11" s="1"/>
  <c r="R70" i="11" s="1"/>
  <c r="C71" i="11"/>
  <c r="E71" i="11" s="1"/>
  <c r="R71" i="11" s="1"/>
  <c r="C72" i="11"/>
  <c r="E72" i="11" s="1"/>
  <c r="C21" i="11"/>
  <c r="C73" i="11"/>
  <c r="E73" i="11" s="1"/>
  <c r="C74" i="11"/>
  <c r="E74" i="11" s="1"/>
  <c r="R74" i="11" s="1"/>
  <c r="C75" i="11"/>
  <c r="C76" i="11"/>
  <c r="E76" i="11" s="1"/>
  <c r="R76" i="11" s="1"/>
  <c r="C77" i="11"/>
  <c r="E77" i="11" s="1"/>
  <c r="C78" i="11"/>
  <c r="E78" i="11" s="1"/>
  <c r="C79" i="11"/>
  <c r="C80" i="11"/>
  <c r="E80" i="11" s="1"/>
  <c r="R80" i="11" s="1"/>
  <c r="C81" i="11"/>
  <c r="E81" i="11" s="1"/>
  <c r="R81" i="11" s="1"/>
  <c r="C22" i="11"/>
  <c r="C23" i="11"/>
  <c r="E23" i="11" s="1"/>
  <c r="R23" i="11" s="1"/>
  <c r="C82" i="11"/>
  <c r="E82" i="11" s="1"/>
  <c r="R82" i="11" s="1"/>
  <c r="C24" i="11"/>
  <c r="E24" i="11" s="1"/>
  <c r="R24" i="11" s="1"/>
  <c r="C25" i="11"/>
  <c r="E25" i="11" s="1"/>
  <c r="C26" i="11"/>
  <c r="E26" i="11" s="1"/>
  <c r="R26" i="11" s="1"/>
  <c r="C27" i="11"/>
  <c r="C83" i="11"/>
  <c r="C84" i="11"/>
  <c r="E84" i="11" s="1"/>
  <c r="C85" i="11"/>
  <c r="E85" i="11" s="1"/>
  <c r="R85" i="11" s="1"/>
  <c r="C86" i="11"/>
  <c r="E86" i="11" s="1"/>
  <c r="C87" i="11"/>
  <c r="E87" i="11" s="1"/>
  <c r="R87" i="11" s="1"/>
  <c r="C88" i="11"/>
  <c r="E88" i="11" s="1"/>
  <c r="R88" i="11" s="1"/>
  <c r="C89" i="11"/>
  <c r="E89" i="11" s="1"/>
  <c r="R89" i="11" s="1"/>
  <c r="C90" i="11"/>
  <c r="E90" i="11" s="1"/>
  <c r="R90" i="11" s="1"/>
  <c r="C28" i="11"/>
  <c r="E28" i="11" s="1"/>
  <c r="R28" i="11" s="1"/>
  <c r="C91" i="11"/>
  <c r="C92" i="11"/>
  <c r="E92" i="11" s="1"/>
  <c r="R92" i="11" s="1"/>
  <c r="C29" i="11"/>
  <c r="E29" i="11" s="1"/>
  <c r="R29" i="11" s="1"/>
  <c r="C93" i="11"/>
  <c r="E93" i="11" s="1"/>
  <c r="R93" i="11" s="1"/>
  <c r="C94" i="11"/>
  <c r="E94" i="11" s="1"/>
  <c r="C30" i="11"/>
  <c r="C95" i="11"/>
  <c r="C31" i="11"/>
  <c r="C96" i="11"/>
  <c r="C97" i="11"/>
  <c r="E97" i="11" s="1"/>
  <c r="R97" i="11" s="1"/>
  <c r="C98" i="11"/>
  <c r="E98" i="11" s="1"/>
  <c r="R98" i="11" s="1"/>
  <c r="C99" i="11"/>
  <c r="C100" i="11"/>
  <c r="E100" i="11" s="1"/>
  <c r="R100" i="11" s="1"/>
  <c r="C101" i="11"/>
  <c r="E101" i="11" s="1"/>
  <c r="R101" i="11" s="1"/>
  <c r="C102" i="11"/>
  <c r="E102" i="11" s="1"/>
  <c r="R102" i="11" s="1"/>
  <c r="C103" i="11"/>
  <c r="D32" i="9"/>
  <c r="D33" i="9"/>
  <c r="D34" i="9"/>
  <c r="D35" i="9"/>
  <c r="D3" i="9"/>
  <c r="D4" i="9"/>
  <c r="D36" i="9"/>
  <c r="D37" i="9"/>
  <c r="D38" i="9"/>
  <c r="D5" i="9"/>
  <c r="D6" i="9"/>
  <c r="D7" i="9"/>
  <c r="D8" i="9"/>
  <c r="D39" i="9"/>
  <c r="D40" i="9"/>
  <c r="D9" i="9"/>
  <c r="D41" i="9"/>
  <c r="D42" i="9"/>
  <c r="D43" i="9"/>
  <c r="D10" i="9"/>
  <c r="D44" i="9"/>
  <c r="D11" i="9"/>
  <c r="D45" i="9"/>
  <c r="D46" i="9"/>
  <c r="D47" i="9"/>
  <c r="D48" i="9"/>
  <c r="D49" i="9"/>
  <c r="D50" i="9"/>
  <c r="D51" i="9"/>
  <c r="E51" i="9" s="1"/>
  <c r="D52" i="9"/>
  <c r="E52" i="9" s="1"/>
  <c r="D53" i="9"/>
  <c r="E53" i="9" s="1"/>
  <c r="D12" i="9"/>
  <c r="E12" i="9" s="1"/>
  <c r="D54" i="9"/>
  <c r="E54" i="9" s="1"/>
  <c r="D13" i="9"/>
  <c r="E13" i="9" s="1"/>
  <c r="D55" i="9"/>
  <c r="E55" i="9" s="1"/>
  <c r="D14" i="9"/>
  <c r="E14" i="9" s="1"/>
  <c r="D56" i="9"/>
  <c r="D15" i="9"/>
  <c r="E15" i="9" s="1"/>
  <c r="D57" i="9"/>
  <c r="E57" i="9" s="1"/>
  <c r="D58" i="9"/>
  <c r="E58" i="9" s="1"/>
  <c r="D59" i="9"/>
  <c r="E59" i="9" s="1"/>
  <c r="D16" i="9"/>
  <c r="E16" i="9" s="1"/>
  <c r="D17" i="9"/>
  <c r="E17" i="9" s="1"/>
  <c r="D60" i="9"/>
  <c r="E60" i="9" s="1"/>
  <c r="D61" i="9"/>
  <c r="E61" i="9" s="1"/>
  <c r="D62" i="9"/>
  <c r="E62" i="9" s="1"/>
  <c r="D63" i="9"/>
  <c r="E63" i="9" s="1"/>
  <c r="D64" i="9"/>
  <c r="E64" i="9" s="1"/>
  <c r="D65" i="9"/>
  <c r="E65" i="9" s="1"/>
  <c r="D66" i="9"/>
  <c r="D18" i="9"/>
  <c r="E18" i="9" s="1"/>
  <c r="D19" i="9"/>
  <c r="E19" i="9" s="1"/>
  <c r="D67" i="9"/>
  <c r="E67" i="9" s="1"/>
  <c r="D68" i="9"/>
  <c r="E68" i="9" s="1"/>
  <c r="D69" i="9"/>
  <c r="E69" i="9" s="1"/>
  <c r="D70" i="9"/>
  <c r="E70" i="9" s="1"/>
  <c r="D71" i="9"/>
  <c r="E71" i="9" s="1"/>
  <c r="D20" i="9"/>
  <c r="E20" i="9" s="1"/>
  <c r="D72" i="9"/>
  <c r="E72" i="9" s="1"/>
  <c r="D73" i="9"/>
  <c r="D74" i="9"/>
  <c r="D75" i="9"/>
  <c r="E75" i="9" s="1"/>
  <c r="D76" i="9"/>
  <c r="D77" i="9"/>
  <c r="D78" i="9"/>
  <c r="E78" i="9" s="1"/>
  <c r="D79" i="9"/>
  <c r="E79" i="9" s="1"/>
  <c r="D80" i="9"/>
  <c r="E80" i="9" s="1"/>
  <c r="D21" i="9"/>
  <c r="E21" i="9" s="1"/>
  <c r="D22" i="9"/>
  <c r="E22" i="9" s="1"/>
  <c r="D81" i="9"/>
  <c r="E81" i="9" s="1"/>
  <c r="D23" i="9"/>
  <c r="E23" i="9" s="1"/>
  <c r="D24" i="9"/>
  <c r="N24" i="9" s="1"/>
  <c r="D25" i="9"/>
  <c r="E25" i="9" s="1"/>
  <c r="D26" i="9"/>
  <c r="E26" i="9" s="1"/>
  <c r="D82" i="9"/>
  <c r="D83" i="9"/>
  <c r="E83" i="9" s="1"/>
  <c r="D84" i="9"/>
  <c r="E84" i="9" s="1"/>
  <c r="D85" i="9"/>
  <c r="E85" i="9" s="1"/>
  <c r="D86" i="9"/>
  <c r="E86" i="9" s="1"/>
  <c r="D87" i="9"/>
  <c r="E87" i="9" s="1"/>
  <c r="D88" i="9"/>
  <c r="E88" i="9" s="1"/>
  <c r="D89" i="9"/>
  <c r="E89" i="9" s="1"/>
  <c r="D27" i="9"/>
  <c r="E27" i="9" s="1"/>
  <c r="D90" i="9"/>
  <c r="D91" i="9"/>
  <c r="E91" i="9" s="1"/>
  <c r="D28" i="9"/>
  <c r="E28" i="9" s="1"/>
  <c r="D92" i="9"/>
  <c r="D93" i="9"/>
  <c r="N93" i="9" s="1"/>
  <c r="D29" i="9"/>
  <c r="E29" i="9" s="1"/>
  <c r="D94" i="9"/>
  <c r="E94" i="9" s="1"/>
  <c r="D30" i="9"/>
  <c r="E30" i="9" s="1"/>
  <c r="D95" i="9"/>
  <c r="E95" i="9" s="1"/>
  <c r="D96" i="9"/>
  <c r="E96" i="9" s="1"/>
  <c r="D97" i="9"/>
  <c r="E97" i="9" s="1"/>
  <c r="D98" i="9"/>
  <c r="E98" i="9" s="1"/>
  <c r="D99" i="9"/>
  <c r="E99" i="9" s="1"/>
  <c r="D100" i="9"/>
  <c r="N100" i="9" s="1"/>
  <c r="D101" i="9"/>
  <c r="N101" i="9" s="1"/>
  <c r="D102" i="9"/>
  <c r="N102" i="9" s="1"/>
  <c r="D31" i="9"/>
  <c r="C32" i="9"/>
  <c r="C33" i="9"/>
  <c r="C34" i="9"/>
  <c r="C35" i="9"/>
  <c r="C3" i="9"/>
  <c r="C4" i="9"/>
  <c r="C36" i="9"/>
  <c r="C37" i="9"/>
  <c r="C38" i="9"/>
  <c r="G38" i="9" s="1"/>
  <c r="C5" i="9"/>
  <c r="C6" i="9"/>
  <c r="C7" i="9"/>
  <c r="G35" i="9" s="1"/>
  <c r="C8" i="9"/>
  <c r="G3" i="9" s="1"/>
  <c r="C39" i="9"/>
  <c r="C40" i="9"/>
  <c r="C9" i="9"/>
  <c r="C41" i="9"/>
  <c r="C42" i="9"/>
  <c r="C43" i="9"/>
  <c r="C10" i="9"/>
  <c r="C44" i="9"/>
  <c r="C11" i="9"/>
  <c r="C45" i="9"/>
  <c r="C46" i="9"/>
  <c r="C47" i="9"/>
  <c r="C48" i="9"/>
  <c r="C49" i="9"/>
  <c r="C50" i="9"/>
  <c r="C51" i="9"/>
  <c r="C52" i="9"/>
  <c r="C53" i="9"/>
  <c r="C12" i="9"/>
  <c r="C54" i="9"/>
  <c r="C13" i="9"/>
  <c r="C55" i="9"/>
  <c r="C14" i="9"/>
  <c r="C56" i="9"/>
  <c r="C15" i="9"/>
  <c r="C57" i="9"/>
  <c r="C58" i="9"/>
  <c r="C59" i="9"/>
  <c r="C16" i="9"/>
  <c r="C17" i="9"/>
  <c r="C60" i="9"/>
  <c r="C61" i="9"/>
  <c r="C62" i="9"/>
  <c r="C63" i="9"/>
  <c r="C64" i="9"/>
  <c r="C65" i="9"/>
  <c r="C66" i="9"/>
  <c r="C18" i="9"/>
  <c r="C19" i="9"/>
  <c r="C67" i="9"/>
  <c r="C68" i="9"/>
  <c r="C69" i="9"/>
  <c r="C70" i="9"/>
  <c r="C71" i="9"/>
  <c r="C20" i="9"/>
  <c r="C72" i="9"/>
  <c r="C73" i="9"/>
  <c r="C74" i="9"/>
  <c r="C75" i="9"/>
  <c r="C76" i="9"/>
  <c r="C77" i="9"/>
  <c r="C78" i="9"/>
  <c r="C79" i="9"/>
  <c r="C80" i="9"/>
  <c r="C21" i="9"/>
  <c r="G42" i="9" s="1"/>
  <c r="C22" i="9"/>
  <c r="C81" i="9"/>
  <c r="C23" i="9"/>
  <c r="C24" i="9"/>
  <c r="C25" i="9"/>
  <c r="C26" i="9"/>
  <c r="C82" i="9"/>
  <c r="C83" i="9"/>
  <c r="C84" i="9"/>
  <c r="C85" i="9"/>
  <c r="C86" i="9"/>
  <c r="C87" i="9"/>
  <c r="C88" i="9"/>
  <c r="C89" i="9"/>
  <c r="C27" i="9"/>
  <c r="C90" i="9"/>
  <c r="C91" i="9"/>
  <c r="C28" i="9"/>
  <c r="C92" i="9"/>
  <c r="C93" i="9"/>
  <c r="C29" i="9"/>
  <c r="C94" i="9"/>
  <c r="C30" i="9"/>
  <c r="C95" i="9"/>
  <c r="G95" i="9" s="1"/>
  <c r="I95" i="9" s="1"/>
  <c r="C96" i="9"/>
  <c r="G96" i="9" s="1"/>
  <c r="I96" i="9" s="1"/>
  <c r="C97" i="9"/>
  <c r="G97" i="9" s="1"/>
  <c r="I97" i="9" s="1"/>
  <c r="C98" i="9"/>
  <c r="G98" i="9" s="1"/>
  <c r="I98" i="9" s="1"/>
  <c r="C99" i="9"/>
  <c r="G99" i="9" s="1"/>
  <c r="I99" i="9" s="1"/>
  <c r="C100" i="9"/>
  <c r="G100" i="9" s="1"/>
  <c r="I100" i="9" s="1"/>
  <c r="C101" i="9"/>
  <c r="G101" i="9" s="1"/>
  <c r="I101" i="9" s="1"/>
  <c r="C102" i="9"/>
  <c r="G102" i="9" s="1"/>
  <c r="I102" i="9" s="1"/>
  <c r="B50" i="9"/>
  <c r="B51" i="9"/>
  <c r="B52" i="9"/>
  <c r="B53" i="9"/>
  <c r="B12" i="9"/>
  <c r="B54" i="9"/>
  <c r="B13" i="9"/>
  <c r="B55" i="9"/>
  <c r="B14" i="9"/>
  <c r="B56" i="9"/>
  <c r="B15" i="9"/>
  <c r="B57" i="9"/>
  <c r="B58" i="9"/>
  <c r="B59" i="9"/>
  <c r="B16" i="9"/>
  <c r="B17" i="9"/>
  <c r="B60" i="9"/>
  <c r="B61" i="9"/>
  <c r="B62" i="9"/>
  <c r="B63" i="9"/>
  <c r="B64" i="9"/>
  <c r="B65" i="9"/>
  <c r="B66" i="9"/>
  <c r="B18" i="9"/>
  <c r="B19" i="9"/>
  <c r="B67" i="9"/>
  <c r="B68" i="9"/>
  <c r="B69" i="9"/>
  <c r="B70" i="9"/>
  <c r="B71" i="9"/>
  <c r="B20" i="9"/>
  <c r="B72" i="9"/>
  <c r="B73" i="9"/>
  <c r="B74" i="9"/>
  <c r="B75" i="9"/>
  <c r="B76" i="9"/>
  <c r="B77" i="9"/>
  <c r="B78" i="9"/>
  <c r="B79" i="9"/>
  <c r="B80" i="9"/>
  <c r="B21" i="9"/>
  <c r="B22" i="9"/>
  <c r="B81" i="9"/>
  <c r="B23" i="9"/>
  <c r="B24" i="9"/>
  <c r="B25" i="9"/>
  <c r="B26" i="9"/>
  <c r="B82" i="9"/>
  <c r="B83" i="9"/>
  <c r="B84" i="9"/>
  <c r="B85" i="9"/>
  <c r="B86" i="9"/>
  <c r="B87" i="9"/>
  <c r="B88" i="9"/>
  <c r="B89" i="9"/>
  <c r="B27" i="9"/>
  <c r="B90" i="9"/>
  <c r="B91" i="9"/>
  <c r="B28" i="9"/>
  <c r="B92" i="9"/>
  <c r="B93" i="9"/>
  <c r="B29" i="9"/>
  <c r="B94" i="9"/>
  <c r="B30" i="9"/>
  <c r="B95" i="9"/>
  <c r="B96" i="9"/>
  <c r="B97" i="9"/>
  <c r="B98" i="9"/>
  <c r="B99" i="9"/>
  <c r="B100" i="9"/>
  <c r="B101" i="9"/>
  <c r="B102" i="9"/>
  <c r="B32" i="9"/>
  <c r="B33" i="9"/>
  <c r="B34" i="9"/>
  <c r="B35" i="9"/>
  <c r="B3" i="9"/>
  <c r="B4" i="9"/>
  <c r="B36" i="9"/>
  <c r="B37" i="9"/>
  <c r="B38" i="9"/>
  <c r="B5" i="9"/>
  <c r="B6" i="9"/>
  <c r="B7" i="9"/>
  <c r="B8" i="9"/>
  <c r="B39" i="9"/>
  <c r="B40" i="9"/>
  <c r="B9" i="9"/>
  <c r="B41" i="9"/>
  <c r="B42" i="9"/>
  <c r="B43" i="9"/>
  <c r="B10" i="9"/>
  <c r="B44" i="9"/>
  <c r="B11" i="9"/>
  <c r="B45" i="9"/>
  <c r="B46" i="9"/>
  <c r="B47" i="9"/>
  <c r="B48" i="9"/>
  <c r="B49" i="9"/>
  <c r="G47" i="9" l="1"/>
  <c r="N25" i="9"/>
  <c r="N56" i="9"/>
  <c r="D20" i="14"/>
  <c r="G54" i="11"/>
  <c r="P54" i="11" s="1"/>
  <c r="G53" i="11"/>
  <c r="P53" i="11" s="1"/>
  <c r="G80" i="9"/>
  <c r="I80" i="9" s="1"/>
  <c r="G17" i="9"/>
  <c r="I17" i="9" s="1"/>
  <c r="G13" i="11"/>
  <c r="O13" i="11" s="1"/>
  <c r="G81" i="9"/>
  <c r="I81" i="9" s="1"/>
  <c r="G9" i="9"/>
  <c r="G71" i="9"/>
  <c r="I71" i="9" s="1"/>
  <c r="G6" i="9"/>
  <c r="G36" i="9"/>
  <c r="G16" i="9"/>
  <c r="I16" i="9" s="1"/>
  <c r="X86" i="11"/>
  <c r="R86" i="11"/>
  <c r="G98" i="11"/>
  <c r="O98" i="11" s="1"/>
  <c r="G78" i="11"/>
  <c r="G63" i="11"/>
  <c r="Q63" i="11" s="1"/>
  <c r="G26" i="11"/>
  <c r="O26" i="11" s="1"/>
  <c r="G97" i="11"/>
  <c r="O97" i="11" s="1"/>
  <c r="G73" i="11"/>
  <c r="P73" i="11" s="1"/>
  <c r="G62" i="11"/>
  <c r="P62" i="11" s="1"/>
  <c r="G25" i="11"/>
  <c r="P25" i="11" s="1"/>
  <c r="X84" i="11"/>
  <c r="R84" i="11"/>
  <c r="G94" i="11"/>
  <c r="G72" i="11"/>
  <c r="O72" i="11" s="1"/>
  <c r="G56" i="11"/>
  <c r="Q56" i="11" s="1"/>
  <c r="G24" i="11"/>
  <c r="O24" i="11" s="1"/>
  <c r="T73" i="11"/>
  <c r="U73" i="11" s="1"/>
  <c r="R73" i="11"/>
  <c r="T56" i="11"/>
  <c r="U56" i="11" s="1"/>
  <c r="R56" i="11"/>
  <c r="G93" i="11"/>
  <c r="Q93" i="11" s="1"/>
  <c r="G71" i="11"/>
  <c r="O71" i="11" s="1"/>
  <c r="G55" i="11"/>
  <c r="O55" i="11" s="1"/>
  <c r="G23" i="11"/>
  <c r="G22" i="9"/>
  <c r="I22" i="9" s="1"/>
  <c r="G40" i="9"/>
  <c r="G19" i="9"/>
  <c r="I19" i="9" s="1"/>
  <c r="E68" i="11"/>
  <c r="X68" i="11" s="1"/>
  <c r="G92" i="11"/>
  <c r="P92" i="11" s="1"/>
  <c r="G70" i="11"/>
  <c r="G16" i="11"/>
  <c r="O16" i="11" s="1"/>
  <c r="X72" i="11"/>
  <c r="R72" i="11"/>
  <c r="G89" i="11"/>
  <c r="Q89" i="11" s="1"/>
  <c r="G69" i="11"/>
  <c r="X94" i="11"/>
  <c r="R94" i="11"/>
  <c r="X25" i="11"/>
  <c r="R25" i="11"/>
  <c r="X78" i="11"/>
  <c r="R78" i="11"/>
  <c r="X13" i="11"/>
  <c r="R13" i="11"/>
  <c r="G101" i="11"/>
  <c r="P101" i="11" s="1"/>
  <c r="G88" i="11"/>
  <c r="O88" i="11" s="1"/>
  <c r="G65" i="11"/>
  <c r="P65" i="11" s="1"/>
  <c r="G52" i="11"/>
  <c r="P52" i="11" s="1"/>
  <c r="T77" i="11"/>
  <c r="V77" i="11" s="1"/>
  <c r="R77" i="11"/>
  <c r="G100" i="11"/>
  <c r="P100" i="11" s="1"/>
  <c r="G82" i="11"/>
  <c r="G64" i="11"/>
  <c r="Q64" i="11" s="1"/>
  <c r="G29" i="11"/>
  <c r="P29" i="11" s="1"/>
  <c r="G80" i="11"/>
  <c r="G17" i="11"/>
  <c r="P26" i="11"/>
  <c r="E96" i="11"/>
  <c r="G96" i="11"/>
  <c r="E91" i="11"/>
  <c r="R91" i="11" s="1"/>
  <c r="G91" i="11"/>
  <c r="E22" i="11"/>
  <c r="R22" i="11" s="1"/>
  <c r="G22" i="11"/>
  <c r="E61" i="11"/>
  <c r="R61" i="11" s="1"/>
  <c r="G61" i="11"/>
  <c r="E15" i="11"/>
  <c r="R15" i="11" s="1"/>
  <c r="G15" i="11"/>
  <c r="E51" i="11"/>
  <c r="R51" i="11" s="1"/>
  <c r="G51" i="11"/>
  <c r="G84" i="11"/>
  <c r="E103" i="11"/>
  <c r="R103" i="11" s="1"/>
  <c r="G103" i="11"/>
  <c r="E31" i="11"/>
  <c r="R31" i="11" s="1"/>
  <c r="G31" i="11"/>
  <c r="E83" i="11"/>
  <c r="G83" i="11"/>
  <c r="G19" i="11"/>
  <c r="E19" i="11"/>
  <c r="R19" i="11" s="1"/>
  <c r="E50" i="11"/>
  <c r="R50" i="11" s="1"/>
  <c r="G50" i="11"/>
  <c r="E79" i="11"/>
  <c r="R79" i="11" s="1"/>
  <c r="G79" i="11"/>
  <c r="O93" i="11"/>
  <c r="G102" i="11"/>
  <c r="G90" i="11"/>
  <c r="G74" i="11"/>
  <c r="G28" i="11"/>
  <c r="Q68" i="11"/>
  <c r="E95" i="11"/>
  <c r="R95" i="11" s="1"/>
  <c r="G95" i="11"/>
  <c r="E27" i="11"/>
  <c r="R27" i="11" s="1"/>
  <c r="G27" i="11"/>
  <c r="E21" i="11"/>
  <c r="R21" i="11" s="1"/>
  <c r="G21" i="11"/>
  <c r="E67" i="11"/>
  <c r="R67" i="11" s="1"/>
  <c r="G67" i="11"/>
  <c r="E14" i="11"/>
  <c r="R14" i="11" s="1"/>
  <c r="G14" i="11"/>
  <c r="G81" i="11"/>
  <c r="Q53" i="11"/>
  <c r="G20" i="11"/>
  <c r="O54" i="11"/>
  <c r="P68" i="11"/>
  <c r="E30" i="11"/>
  <c r="R30" i="11" s="1"/>
  <c r="G30" i="11"/>
  <c r="E66" i="11"/>
  <c r="R66" i="11" s="1"/>
  <c r="G66" i="11"/>
  <c r="E60" i="11"/>
  <c r="R60" i="11" s="1"/>
  <c r="G60" i="11"/>
  <c r="G18" i="11"/>
  <c r="G86" i="11"/>
  <c r="G77" i="11"/>
  <c r="G58" i="11"/>
  <c r="P13" i="11"/>
  <c r="O94" i="11"/>
  <c r="E99" i="11"/>
  <c r="G99" i="11"/>
  <c r="G87" i="11"/>
  <c r="E75" i="11"/>
  <c r="R75" i="11" s="1"/>
  <c r="G75" i="11"/>
  <c r="G85" i="11"/>
  <c r="G76" i="11"/>
  <c r="G57" i="11"/>
  <c r="G59" i="11"/>
  <c r="J4" i="11"/>
  <c r="N63" i="9"/>
  <c r="N26" i="9"/>
  <c r="X58" i="11"/>
  <c r="X56" i="11"/>
  <c r="X53" i="11"/>
  <c r="X28" i="11"/>
  <c r="T28" i="11"/>
  <c r="U28" i="11" s="1"/>
  <c r="G30" i="9"/>
  <c r="I30" i="9" s="1"/>
  <c r="G29" i="9"/>
  <c r="I29" i="9" s="1"/>
  <c r="G86" i="9"/>
  <c r="I86" i="9" s="1"/>
  <c r="G68" i="9"/>
  <c r="I68" i="9" s="1"/>
  <c r="G62" i="9"/>
  <c r="I62" i="9" s="1"/>
  <c r="G53" i="9"/>
  <c r="I53" i="9" s="1"/>
  <c r="G4" i="9"/>
  <c r="G45" i="9"/>
  <c r="G24" i="9"/>
  <c r="I24" i="9" s="1"/>
  <c r="G7" i="9"/>
  <c r="G61" i="9"/>
  <c r="I61" i="9" s="1"/>
  <c r="G14" i="9"/>
  <c r="I14" i="9" s="1"/>
  <c r="G52" i="9"/>
  <c r="I52" i="9" s="1"/>
  <c r="N57" i="9"/>
  <c r="G93" i="9"/>
  <c r="I93" i="9" s="1"/>
  <c r="G23" i="9"/>
  <c r="I23" i="9" s="1"/>
  <c r="G67" i="9"/>
  <c r="I67" i="9" s="1"/>
  <c r="G51" i="9"/>
  <c r="I51" i="9" s="1"/>
  <c r="N62" i="9"/>
  <c r="G41" i="9"/>
  <c r="G43" i="9"/>
  <c r="T98" i="11"/>
  <c r="X98" i="11"/>
  <c r="X70" i="11"/>
  <c r="X102" i="11"/>
  <c r="X29" i="11"/>
  <c r="T76" i="11"/>
  <c r="X76" i="11"/>
  <c r="T16" i="11"/>
  <c r="U16" i="11" s="1"/>
  <c r="X16" i="11"/>
  <c r="X87" i="11"/>
  <c r="T87" i="11"/>
  <c r="U87" i="11" s="1"/>
  <c r="T81" i="11"/>
  <c r="U81" i="11" s="1"/>
  <c r="X81" i="11"/>
  <c r="X74" i="11"/>
  <c r="X97" i="11"/>
  <c r="X62" i="11"/>
  <c r="X90" i="11"/>
  <c r="T54" i="11"/>
  <c r="U54" i="11" s="1"/>
  <c r="X54" i="11"/>
  <c r="T18" i="11"/>
  <c r="U18" i="11" s="1"/>
  <c r="X18" i="11"/>
  <c r="T63" i="11"/>
  <c r="X63" i="11"/>
  <c r="T85" i="11"/>
  <c r="V85" i="11" s="1"/>
  <c r="X85" i="11"/>
  <c r="X52" i="11"/>
  <c r="T52" i="11"/>
  <c r="V52" i="11" s="1"/>
  <c r="T86" i="11"/>
  <c r="T80" i="11"/>
  <c r="X80" i="11"/>
  <c r="T69" i="11"/>
  <c r="X101" i="11"/>
  <c r="X93" i="11"/>
  <c r="X26" i="11"/>
  <c r="X77" i="11"/>
  <c r="X59" i="11"/>
  <c r="T59" i="11"/>
  <c r="X64" i="11"/>
  <c r="X57" i="11"/>
  <c r="X65" i="11"/>
  <c r="T100" i="11"/>
  <c r="U100" i="11" s="1"/>
  <c r="T13" i="11"/>
  <c r="X55" i="11"/>
  <c r="T84" i="11"/>
  <c r="T20" i="11"/>
  <c r="X20" i="11"/>
  <c r="X100" i="11"/>
  <c r="X89" i="11"/>
  <c r="X17" i="11"/>
  <c r="T89" i="11"/>
  <c r="T65" i="11"/>
  <c r="U65" i="11" s="1"/>
  <c r="T17" i="11"/>
  <c r="X24" i="11"/>
  <c r="T88" i="11"/>
  <c r="T92" i="11"/>
  <c r="X71" i="11"/>
  <c r="X92" i="11"/>
  <c r="X88" i="11"/>
  <c r="X82" i="11"/>
  <c r="T82" i="11"/>
  <c r="X23" i="11"/>
  <c r="T78" i="11"/>
  <c r="T26" i="11"/>
  <c r="T55" i="11"/>
  <c r="X73" i="11"/>
  <c r="X69" i="11"/>
  <c r="T101" i="11"/>
  <c r="T53" i="11"/>
  <c r="E100" i="9"/>
  <c r="M100" i="9" s="1"/>
  <c r="O100" i="9" s="1"/>
  <c r="N99" i="9"/>
  <c r="G94" i="9"/>
  <c r="I94" i="9" s="1"/>
  <c r="E24" i="9"/>
  <c r="M24" i="9" s="1"/>
  <c r="O24" i="9" s="1"/>
  <c r="G25" i="9"/>
  <c r="I25" i="9" s="1"/>
  <c r="G56" i="9"/>
  <c r="I56" i="9" s="1"/>
  <c r="N58" i="9"/>
  <c r="N54" i="9"/>
  <c r="E77" i="9"/>
  <c r="M77" i="9" s="1"/>
  <c r="N68" i="9"/>
  <c r="N77" i="9"/>
  <c r="G60" i="9"/>
  <c r="I60" i="9" s="1"/>
  <c r="N14" i="9"/>
  <c r="N70" i="9"/>
  <c r="G85" i="9"/>
  <c r="I85" i="9" s="1"/>
  <c r="G37" i="9"/>
  <c r="N61" i="9"/>
  <c r="G10" i="9"/>
  <c r="N50" i="9"/>
  <c r="N15" i="9"/>
  <c r="N64" i="9"/>
  <c r="G34" i="9"/>
  <c r="N29" i="9"/>
  <c r="N86" i="9"/>
  <c r="N53" i="9"/>
  <c r="N83" i="9"/>
  <c r="G72" i="9"/>
  <c r="I72" i="9" s="1"/>
  <c r="G33" i="9"/>
  <c r="N76" i="9"/>
  <c r="N52" i="9"/>
  <c r="G76" i="9"/>
  <c r="I76" i="9" s="1"/>
  <c r="G75" i="9"/>
  <c r="I75" i="9" s="1"/>
  <c r="G73" i="9"/>
  <c r="I73" i="9" s="1"/>
  <c r="G91" i="9"/>
  <c r="I91" i="9" s="1"/>
  <c r="G21" i="9"/>
  <c r="I21" i="9" s="1"/>
  <c r="G20" i="9"/>
  <c r="I20" i="9" s="1"/>
  <c r="G18" i="9"/>
  <c r="I18" i="9" s="1"/>
  <c r="G59" i="9"/>
  <c r="I59" i="9" s="1"/>
  <c r="G55" i="9"/>
  <c r="I55" i="9" s="1"/>
  <c r="N23" i="9"/>
  <c r="N67" i="9"/>
  <c r="N51" i="9"/>
  <c r="N21" i="9"/>
  <c r="G46" i="9"/>
  <c r="G28" i="9"/>
  <c r="I28" i="9" s="1"/>
  <c r="G90" i="9"/>
  <c r="I90" i="9" s="1"/>
  <c r="G13" i="9"/>
  <c r="I13" i="9" s="1"/>
  <c r="N92" i="9"/>
  <c r="N81" i="9"/>
  <c r="N17" i="9"/>
  <c r="N12" i="9"/>
  <c r="G92" i="9"/>
  <c r="I92" i="9" s="1"/>
  <c r="N94" i="9"/>
  <c r="G49" i="9"/>
  <c r="G27" i="9"/>
  <c r="I27" i="9" s="1"/>
  <c r="G84" i="9"/>
  <c r="I84" i="9" s="1"/>
  <c r="G79" i="9"/>
  <c r="I79" i="9" s="1"/>
  <c r="G39" i="9"/>
  <c r="G66" i="9"/>
  <c r="I66" i="9" s="1"/>
  <c r="G58" i="9"/>
  <c r="I58" i="9" s="1"/>
  <c r="G54" i="9"/>
  <c r="I54" i="9" s="1"/>
  <c r="N16" i="9"/>
  <c r="N73" i="9"/>
  <c r="G89" i="9"/>
  <c r="I89" i="9" s="1"/>
  <c r="G83" i="9"/>
  <c r="I83" i="9" s="1"/>
  <c r="G78" i="9"/>
  <c r="I78" i="9" s="1"/>
  <c r="G8" i="9"/>
  <c r="G65" i="9"/>
  <c r="I65" i="9" s="1"/>
  <c r="G57" i="9"/>
  <c r="I57" i="9" s="1"/>
  <c r="G32" i="9"/>
  <c r="G11" i="9"/>
  <c r="N19" i="9"/>
  <c r="N87" i="9"/>
  <c r="G48" i="9"/>
  <c r="G88" i="9"/>
  <c r="I88" i="9" s="1"/>
  <c r="G82" i="9"/>
  <c r="I82" i="9" s="1"/>
  <c r="G77" i="9"/>
  <c r="I77" i="9" s="1"/>
  <c r="G70" i="9"/>
  <c r="I70" i="9" s="1"/>
  <c r="G64" i="9"/>
  <c r="I64" i="9" s="1"/>
  <c r="G15" i="9"/>
  <c r="I15" i="9" s="1"/>
  <c r="N59" i="9"/>
  <c r="N55" i="9"/>
  <c r="E102" i="9"/>
  <c r="M102" i="9" s="1"/>
  <c r="O102" i="9" s="1"/>
  <c r="G44" i="9"/>
  <c r="N60" i="9"/>
  <c r="G74" i="9"/>
  <c r="I74" i="9" s="1"/>
  <c r="N69" i="9"/>
  <c r="G87" i="9"/>
  <c r="I87" i="9" s="1"/>
  <c r="G26" i="9"/>
  <c r="I26" i="9" s="1"/>
  <c r="G69" i="9"/>
  <c r="I69" i="9" s="1"/>
  <c r="G63" i="9"/>
  <c r="I63" i="9" s="1"/>
  <c r="G12" i="9"/>
  <c r="I12" i="9" s="1"/>
  <c r="N13" i="9"/>
  <c r="E101" i="9"/>
  <c r="M101" i="9" s="1"/>
  <c r="O101" i="9" s="1"/>
  <c r="G5" i="9"/>
  <c r="N90" i="9"/>
  <c r="N95" i="9"/>
  <c r="E76" i="9"/>
  <c r="E56" i="9"/>
  <c r="E93" i="9"/>
  <c r="M93" i="9" s="1"/>
  <c r="O93" i="9" s="1"/>
  <c r="E92" i="9"/>
  <c r="M92" i="9" s="1"/>
  <c r="E74" i="9"/>
  <c r="M74" i="9" s="1"/>
  <c r="E50" i="9"/>
  <c r="N65" i="9"/>
  <c r="N71" i="9"/>
  <c r="N74" i="9"/>
  <c r="N78" i="9"/>
  <c r="N22" i="9"/>
  <c r="N84" i="9"/>
  <c r="N88" i="9"/>
  <c r="N91" i="9"/>
  <c r="N96" i="9"/>
  <c r="E73" i="9"/>
  <c r="M73" i="9" s="1"/>
  <c r="E90" i="9"/>
  <c r="M90" i="9" s="1"/>
  <c r="N66" i="9"/>
  <c r="N20" i="9"/>
  <c r="N75" i="9"/>
  <c r="N79" i="9"/>
  <c r="N85" i="9"/>
  <c r="N89" i="9"/>
  <c r="N28" i="9"/>
  <c r="N97" i="9"/>
  <c r="E66" i="9"/>
  <c r="E82" i="9"/>
  <c r="M82" i="9" s="1"/>
  <c r="N18" i="9"/>
  <c r="N72" i="9"/>
  <c r="N80" i="9"/>
  <c r="N82" i="9"/>
  <c r="N27" i="9"/>
  <c r="N30" i="9"/>
  <c r="N98" i="9"/>
  <c r="M64" i="9"/>
  <c r="M19" i="9"/>
  <c r="M68" i="9"/>
  <c r="M70" i="9"/>
  <c r="M20" i="9"/>
  <c r="M75" i="9"/>
  <c r="M79" i="9"/>
  <c r="M21" i="9"/>
  <c r="M81" i="9"/>
  <c r="M26" i="9"/>
  <c r="M83" i="9"/>
  <c r="M85" i="9"/>
  <c r="M87" i="9"/>
  <c r="M89" i="9"/>
  <c r="M28" i="9"/>
  <c r="M94" i="9"/>
  <c r="M95" i="9"/>
  <c r="M97" i="9"/>
  <c r="M99" i="9"/>
  <c r="M63" i="9"/>
  <c r="M65" i="9"/>
  <c r="M18" i="9"/>
  <c r="M67" i="9"/>
  <c r="M69" i="9"/>
  <c r="M71" i="9"/>
  <c r="M72" i="9"/>
  <c r="M78" i="9"/>
  <c r="M80" i="9"/>
  <c r="M22" i="9"/>
  <c r="M23" i="9"/>
  <c r="M25" i="9"/>
  <c r="O25" i="9" s="1"/>
  <c r="M84" i="9"/>
  <c r="M86" i="9"/>
  <c r="M88" i="9"/>
  <c r="M27" i="9"/>
  <c r="M91" i="9"/>
  <c r="M29" i="9"/>
  <c r="M30" i="9"/>
  <c r="M96" i="9"/>
  <c r="M98" i="9"/>
  <c r="X15" i="11" l="1"/>
  <c r="O88" i="9"/>
  <c r="Q62" i="11"/>
  <c r="K62" i="11" s="1"/>
  <c r="T67" i="11"/>
  <c r="V67" i="11" s="1"/>
  <c r="X67" i="11"/>
  <c r="P93" i="11"/>
  <c r="O62" i="11"/>
  <c r="X60" i="11"/>
  <c r="X19" i="11"/>
  <c r="Q54" i="11"/>
  <c r="K54" i="11" s="1"/>
  <c r="H54" i="11" s="1"/>
  <c r="I54" i="11" s="1"/>
  <c r="L54" i="11" s="1"/>
  <c r="K53" i="11"/>
  <c r="H53" i="11" s="1"/>
  <c r="M53" i="11" s="1"/>
  <c r="O25" i="11"/>
  <c r="O94" i="9"/>
  <c r="O64" i="9"/>
  <c r="O82" i="9"/>
  <c r="T95" i="11"/>
  <c r="V95" i="11" s="1"/>
  <c r="O53" i="11"/>
  <c r="Q25" i="11"/>
  <c r="K25" i="11" s="1"/>
  <c r="H25" i="11" s="1"/>
  <c r="N25" i="11" s="1"/>
  <c r="O96" i="9"/>
  <c r="Q98" i="11"/>
  <c r="O18" i="9"/>
  <c r="O77" i="9"/>
  <c r="T30" i="11"/>
  <c r="V30" i="11" s="1"/>
  <c r="P98" i="11"/>
  <c r="X27" i="11"/>
  <c r="X103" i="11"/>
  <c r="Q13" i="11"/>
  <c r="K13" i="11" s="1"/>
  <c r="O89" i="11"/>
  <c r="O73" i="11"/>
  <c r="Q26" i="11"/>
  <c r="X30" i="11"/>
  <c r="T14" i="11"/>
  <c r="U14" i="11" s="1"/>
  <c r="P89" i="11"/>
  <c r="K89" i="11" s="1"/>
  <c r="O79" i="9"/>
  <c r="O70" i="9"/>
  <c r="T60" i="11"/>
  <c r="V60" i="11" s="1"/>
  <c r="P55" i="11"/>
  <c r="P56" i="11"/>
  <c r="K56" i="11" s="1"/>
  <c r="H56" i="11" s="1"/>
  <c r="M56" i="11" s="1"/>
  <c r="Q16" i="11"/>
  <c r="T61" i="11"/>
  <c r="V61" i="11" s="1"/>
  <c r="X61" i="11"/>
  <c r="P16" i="11"/>
  <c r="O56" i="11"/>
  <c r="Q55" i="11"/>
  <c r="V56" i="11"/>
  <c r="V73" i="11"/>
  <c r="O26" i="9"/>
  <c r="M76" i="9"/>
  <c r="O76" i="9" s="1"/>
  <c r="U77" i="11"/>
  <c r="X31" i="11"/>
  <c r="Q100" i="11"/>
  <c r="K100" i="11" s="1"/>
  <c r="H100" i="11" s="1"/>
  <c r="N100" i="11" s="1"/>
  <c r="O29" i="11"/>
  <c r="T31" i="11"/>
  <c r="U31" i="11" s="1"/>
  <c r="Q29" i="11"/>
  <c r="X79" i="11"/>
  <c r="Q65" i="11"/>
  <c r="K65" i="11" s="1"/>
  <c r="H65" i="11" s="1"/>
  <c r="N65" i="11" s="1"/>
  <c r="Q73" i="11"/>
  <c r="K73" i="11" s="1"/>
  <c r="H73" i="11" s="1"/>
  <c r="N73" i="11" s="1"/>
  <c r="Q71" i="11"/>
  <c r="X22" i="11"/>
  <c r="K93" i="11"/>
  <c r="H93" i="11" s="1"/>
  <c r="M93" i="11" s="1"/>
  <c r="Q101" i="11"/>
  <c r="K101" i="11" s="1"/>
  <c r="H101" i="11" s="1"/>
  <c r="M101" i="11" s="1"/>
  <c r="K26" i="11"/>
  <c r="H26" i="11" s="1"/>
  <c r="N26" i="11" s="1"/>
  <c r="O101" i="11"/>
  <c r="X75" i="11"/>
  <c r="T21" i="11"/>
  <c r="U21" i="11" s="1"/>
  <c r="K68" i="11"/>
  <c r="H68" i="11" s="1"/>
  <c r="I68" i="11" s="1"/>
  <c r="L68" i="11" s="1"/>
  <c r="T66" i="11"/>
  <c r="V66" i="11" s="1"/>
  <c r="P63" i="11"/>
  <c r="K63" i="11" s="1"/>
  <c r="H63" i="11" s="1"/>
  <c r="N63" i="11" s="1"/>
  <c r="V28" i="11"/>
  <c r="O63" i="11"/>
  <c r="M54" i="11"/>
  <c r="T83" i="11"/>
  <c r="R83" i="11"/>
  <c r="T51" i="11"/>
  <c r="U51" i="11" s="1"/>
  <c r="Q70" i="11"/>
  <c r="P70" i="11"/>
  <c r="O70" i="11"/>
  <c r="P72" i="11"/>
  <c r="Q72" i="11"/>
  <c r="P69" i="11"/>
  <c r="Q69" i="11"/>
  <c r="O69" i="11"/>
  <c r="X14" i="11"/>
  <c r="X21" i="11"/>
  <c r="X95" i="11"/>
  <c r="X83" i="11"/>
  <c r="N54" i="11"/>
  <c r="O65" i="11"/>
  <c r="Q88" i="11"/>
  <c r="P88" i="11"/>
  <c r="Q92" i="11"/>
  <c r="K92" i="11" s="1"/>
  <c r="O92" i="11"/>
  <c r="P94" i="11"/>
  <c r="Q94" i="11"/>
  <c r="Q82" i="11"/>
  <c r="P82" i="11"/>
  <c r="X51" i="11"/>
  <c r="P64" i="11"/>
  <c r="K64" i="11" s="1"/>
  <c r="O64" i="11"/>
  <c r="T68" i="11"/>
  <c r="R68" i="11"/>
  <c r="P78" i="11"/>
  <c r="Q78" i="11"/>
  <c r="O78" i="11"/>
  <c r="P71" i="11"/>
  <c r="X96" i="11"/>
  <c r="R96" i="11"/>
  <c r="T99" i="11"/>
  <c r="R99" i="11"/>
  <c r="X91" i="11"/>
  <c r="O82" i="11"/>
  <c r="O23" i="11"/>
  <c r="P23" i="11"/>
  <c r="Q23" i="11"/>
  <c r="Q24" i="11"/>
  <c r="P24" i="11"/>
  <c r="T91" i="11"/>
  <c r="U91" i="11" s="1"/>
  <c r="X99" i="11"/>
  <c r="X66" i="11"/>
  <c r="O100" i="11"/>
  <c r="Q52" i="11"/>
  <c r="K52" i="11" s="1"/>
  <c r="H52" i="11" s="1"/>
  <c r="O52" i="11"/>
  <c r="P97" i="11"/>
  <c r="Q97" i="11"/>
  <c r="K29" i="11"/>
  <c r="H29" i="11" s="1"/>
  <c r="N29" i="11" s="1"/>
  <c r="P76" i="11"/>
  <c r="Q76" i="11"/>
  <c r="O76" i="11"/>
  <c r="O18" i="11"/>
  <c r="Q18" i="11"/>
  <c r="P18" i="11"/>
  <c r="Q14" i="11"/>
  <c r="O14" i="11"/>
  <c r="P14" i="11"/>
  <c r="O95" i="11"/>
  <c r="P95" i="11"/>
  <c r="Q95" i="11"/>
  <c r="Q102" i="11"/>
  <c r="O102" i="11"/>
  <c r="P102" i="11"/>
  <c r="O15" i="11"/>
  <c r="Q15" i="11"/>
  <c r="P15" i="11"/>
  <c r="O96" i="11"/>
  <c r="P96" i="11"/>
  <c r="Q96" i="11"/>
  <c r="P85" i="11"/>
  <c r="Q85" i="11"/>
  <c r="O85" i="11"/>
  <c r="O87" i="11"/>
  <c r="P87" i="11"/>
  <c r="Q87" i="11"/>
  <c r="O60" i="11"/>
  <c r="P60" i="11"/>
  <c r="Q60" i="11"/>
  <c r="Q19" i="11"/>
  <c r="O19" i="11"/>
  <c r="P19" i="11"/>
  <c r="P17" i="11"/>
  <c r="Q17" i="11"/>
  <c r="O17" i="11"/>
  <c r="P75" i="11"/>
  <c r="O75" i="11"/>
  <c r="Q75" i="11"/>
  <c r="P99" i="11"/>
  <c r="Q99" i="11"/>
  <c r="O99" i="11"/>
  <c r="P67" i="11"/>
  <c r="Q67" i="11"/>
  <c r="O67" i="11"/>
  <c r="Q83" i="11"/>
  <c r="O83" i="11"/>
  <c r="P83" i="11"/>
  <c r="P61" i="11"/>
  <c r="Q61" i="11"/>
  <c r="O61" i="11"/>
  <c r="P66" i="11"/>
  <c r="O66" i="11"/>
  <c r="Q66" i="11"/>
  <c r="O28" i="11"/>
  <c r="P28" i="11"/>
  <c r="Q28" i="11"/>
  <c r="P84" i="11"/>
  <c r="O84" i="11"/>
  <c r="Q84" i="11"/>
  <c r="O59" i="11"/>
  <c r="P59" i="11"/>
  <c r="Q59" i="11"/>
  <c r="O20" i="11"/>
  <c r="Q20" i="11"/>
  <c r="P20" i="11"/>
  <c r="P21" i="11"/>
  <c r="Q21" i="11"/>
  <c r="O21" i="11"/>
  <c r="O79" i="11"/>
  <c r="Q79" i="11"/>
  <c r="P79" i="11"/>
  <c r="O31" i="11"/>
  <c r="Q31" i="11"/>
  <c r="P31" i="11"/>
  <c r="O22" i="11"/>
  <c r="P22" i="11"/>
  <c r="Q22" i="11"/>
  <c r="P58" i="11"/>
  <c r="Q58" i="11"/>
  <c r="O58" i="11"/>
  <c r="Q30" i="11"/>
  <c r="O30" i="11"/>
  <c r="P30" i="11"/>
  <c r="Q80" i="11"/>
  <c r="P80" i="11"/>
  <c r="O80" i="11"/>
  <c r="V87" i="11"/>
  <c r="P77" i="11"/>
  <c r="O77" i="11"/>
  <c r="Q77" i="11"/>
  <c r="P27" i="11"/>
  <c r="Q27" i="11"/>
  <c r="O27" i="11"/>
  <c r="Q74" i="11"/>
  <c r="O74" i="11"/>
  <c r="P74" i="11"/>
  <c r="O50" i="11"/>
  <c r="P50" i="11"/>
  <c r="Q50" i="11"/>
  <c r="O103" i="11"/>
  <c r="Q103" i="11"/>
  <c r="P103" i="11"/>
  <c r="Q51" i="11"/>
  <c r="O51" i="11"/>
  <c r="P51" i="11"/>
  <c r="Q91" i="11"/>
  <c r="O91" i="11"/>
  <c r="P91" i="11"/>
  <c r="P57" i="11"/>
  <c r="O57" i="11"/>
  <c r="Q57" i="11"/>
  <c r="O86" i="11"/>
  <c r="P86" i="11"/>
  <c r="Q86" i="11"/>
  <c r="P81" i="11"/>
  <c r="Q81" i="11"/>
  <c r="O81" i="11"/>
  <c r="P90" i="11"/>
  <c r="Q90" i="11"/>
  <c r="O90" i="11"/>
  <c r="V100" i="11"/>
  <c r="V16" i="11"/>
  <c r="V81" i="11"/>
  <c r="O29" i="9"/>
  <c r="O63" i="9"/>
  <c r="O68" i="9"/>
  <c r="V54" i="11"/>
  <c r="O65" i="9"/>
  <c r="O99" i="9"/>
  <c r="O20" i="9"/>
  <c r="U26" i="11"/>
  <c r="V26" i="11"/>
  <c r="V80" i="11"/>
  <c r="U80" i="11"/>
  <c r="V18" i="11"/>
  <c r="U60" i="11"/>
  <c r="U59" i="11"/>
  <c r="V59" i="11"/>
  <c r="U92" i="11"/>
  <c r="V92" i="11"/>
  <c r="U20" i="11"/>
  <c r="V20" i="11"/>
  <c r="U78" i="11"/>
  <c r="V78" i="11"/>
  <c r="V82" i="11"/>
  <c r="U82" i="11"/>
  <c r="U84" i="11"/>
  <c r="V84" i="11"/>
  <c r="U86" i="11"/>
  <c r="V86" i="11"/>
  <c r="U95" i="11"/>
  <c r="U85" i="11"/>
  <c r="U53" i="11"/>
  <c r="V53" i="11"/>
  <c r="V88" i="11"/>
  <c r="U88" i="11"/>
  <c r="V101" i="11"/>
  <c r="U101" i="11"/>
  <c r="V65" i="11"/>
  <c r="V55" i="11"/>
  <c r="U55" i="11"/>
  <c r="U17" i="11"/>
  <c r="V17" i="11"/>
  <c r="U13" i="11"/>
  <c r="V13" i="11"/>
  <c r="V69" i="11"/>
  <c r="U69" i="11"/>
  <c r="U63" i="11"/>
  <c r="V63" i="11"/>
  <c r="V76" i="11"/>
  <c r="U76" i="11"/>
  <c r="V89" i="11"/>
  <c r="U89" i="11"/>
  <c r="U52" i="11"/>
  <c r="V98" i="11"/>
  <c r="U98" i="11"/>
  <c r="O72" i="9"/>
  <c r="O75" i="9"/>
  <c r="O86" i="9"/>
  <c r="O67" i="9"/>
  <c r="O95" i="9"/>
  <c r="O91" i="9"/>
  <c r="O28" i="9"/>
  <c r="O69" i="9"/>
  <c r="O73" i="9"/>
  <c r="O84" i="9"/>
  <c r="O87" i="9"/>
  <c r="O85" i="9"/>
  <c r="O83" i="9"/>
  <c r="O19" i="9"/>
  <c r="O23" i="9"/>
  <c r="M66" i="9"/>
  <c r="O66" i="9" s="1"/>
  <c r="O92" i="9"/>
  <c r="O30" i="9"/>
  <c r="O80" i="9"/>
  <c r="O97" i="9"/>
  <c r="O81" i="9"/>
  <c r="O21" i="9"/>
  <c r="O78" i="9"/>
  <c r="O22" i="9"/>
  <c r="O74" i="9"/>
  <c r="O90" i="9"/>
  <c r="O98" i="9"/>
  <c r="O27" i="9"/>
  <c r="O89" i="9"/>
  <c r="O71" i="9"/>
  <c r="H62" i="11" l="1"/>
  <c r="I62" i="11" s="1"/>
  <c r="L62" i="11" s="1"/>
  <c r="U67" i="11"/>
  <c r="M62" i="11"/>
  <c r="K16" i="11"/>
  <c r="H16" i="11" s="1"/>
  <c r="N16" i="11" s="1"/>
  <c r="V14" i="11"/>
  <c r="K55" i="11"/>
  <c r="H55" i="11" s="1"/>
  <c r="N55" i="11" s="1"/>
  <c r="K98" i="11"/>
  <c r="H98" i="11" s="1"/>
  <c r="N98" i="11" s="1"/>
  <c r="V21" i="11"/>
  <c r="U61" i="11"/>
  <c r="K71" i="11"/>
  <c r="H71" i="11" s="1"/>
  <c r="I71" i="11" s="1"/>
  <c r="L71" i="11" s="1"/>
  <c r="N56" i="11"/>
  <c r="I56" i="11"/>
  <c r="L56" i="11" s="1"/>
  <c r="H89" i="11"/>
  <c r="N89" i="11" s="1"/>
  <c r="H13" i="11"/>
  <c r="N13" i="11" s="1"/>
  <c r="U30" i="11"/>
  <c r="N53" i="11"/>
  <c r="I53" i="11"/>
  <c r="L53" i="11" s="1"/>
  <c r="M98" i="11"/>
  <c r="I93" i="11"/>
  <c r="L93" i="11" s="1"/>
  <c r="M52" i="11"/>
  <c r="I52" i="11"/>
  <c r="L52" i="11" s="1"/>
  <c r="M63" i="11"/>
  <c r="V31" i="11"/>
  <c r="I26" i="11"/>
  <c r="L26" i="11" s="1"/>
  <c r="V51" i="11"/>
  <c r="M26" i="11"/>
  <c r="N101" i="11"/>
  <c r="I101" i="11"/>
  <c r="L101" i="11" s="1"/>
  <c r="N93" i="11"/>
  <c r="K50" i="11"/>
  <c r="H50" i="11" s="1"/>
  <c r="N50" i="11" s="1"/>
  <c r="K21" i="11"/>
  <c r="H21" i="11" s="1"/>
  <c r="M21" i="11" s="1"/>
  <c r="K67" i="11"/>
  <c r="H67" i="11" s="1"/>
  <c r="N67" i="11" s="1"/>
  <c r="K95" i="11"/>
  <c r="H95" i="11" s="1"/>
  <c r="N95" i="11" s="1"/>
  <c r="N68" i="11"/>
  <c r="K24" i="11"/>
  <c r="H24" i="11" s="1"/>
  <c r="N24" i="11" s="1"/>
  <c r="K94" i="11"/>
  <c r="H94" i="11" s="1"/>
  <c r="N94" i="11" s="1"/>
  <c r="V91" i="11"/>
  <c r="M68" i="11"/>
  <c r="I63" i="11"/>
  <c r="L63" i="11" s="1"/>
  <c r="N52" i="11"/>
  <c r="K78" i="11"/>
  <c r="H78" i="11" s="1"/>
  <c r="I78" i="11" s="1"/>
  <c r="L78" i="11" s="1"/>
  <c r="I16" i="11"/>
  <c r="L16" i="11" s="1"/>
  <c r="U66" i="11"/>
  <c r="K90" i="11"/>
  <c r="H90" i="11" s="1"/>
  <c r="M90" i="11" s="1"/>
  <c r="K103" i="11"/>
  <c r="H103" i="11" s="1"/>
  <c r="N103" i="11" s="1"/>
  <c r="K58" i="11"/>
  <c r="H58" i="11" s="1"/>
  <c r="N58" i="11" s="1"/>
  <c r="K102" i="11"/>
  <c r="H102" i="11" s="1"/>
  <c r="I102" i="11" s="1"/>
  <c r="L102" i="11" s="1"/>
  <c r="K88" i="11"/>
  <c r="H88" i="11" s="1"/>
  <c r="K57" i="11"/>
  <c r="H57" i="11" s="1"/>
  <c r="N57" i="11" s="1"/>
  <c r="H92" i="11"/>
  <c r="N92" i="11" s="1"/>
  <c r="H64" i="11"/>
  <c r="N64" i="11" s="1"/>
  <c r="K80" i="11"/>
  <c r="H80" i="11" s="1"/>
  <c r="N80" i="11" s="1"/>
  <c r="I29" i="11"/>
  <c r="L29" i="11" s="1"/>
  <c r="M29" i="11"/>
  <c r="K82" i="11"/>
  <c r="H82" i="11" s="1"/>
  <c r="K69" i="11"/>
  <c r="V83" i="11"/>
  <c r="U83" i="11"/>
  <c r="U99" i="11"/>
  <c r="V99" i="11"/>
  <c r="K20" i="11"/>
  <c r="H20" i="11" s="1"/>
  <c r="K84" i="11"/>
  <c r="H84" i="11" s="1"/>
  <c r="K97" i="11"/>
  <c r="K72" i="11"/>
  <c r="H72" i="11" s="1"/>
  <c r="K14" i="11"/>
  <c r="H14" i="11" s="1"/>
  <c r="M14" i="11" s="1"/>
  <c r="U68" i="11"/>
  <c r="V68" i="11"/>
  <c r="K83" i="11"/>
  <c r="H83" i="11" s="1"/>
  <c r="N83" i="11" s="1"/>
  <c r="K23" i="11"/>
  <c r="H23" i="11" s="1"/>
  <c r="K70" i="11"/>
  <c r="K17" i="11"/>
  <c r="H17" i="11" s="1"/>
  <c r="N17" i="11" s="1"/>
  <c r="K74" i="11"/>
  <c r="K77" i="11"/>
  <c r="H77" i="11" s="1"/>
  <c r="K76" i="11"/>
  <c r="H76" i="11" s="1"/>
  <c r="N76" i="11" s="1"/>
  <c r="K86" i="11"/>
  <c r="H86" i="11" s="1"/>
  <c r="I86" i="11" s="1"/>
  <c r="L86" i="11" s="1"/>
  <c r="K87" i="11"/>
  <c r="H87" i="11" s="1"/>
  <c r="K18" i="11"/>
  <c r="M100" i="11"/>
  <c r="I100" i="11"/>
  <c r="L100" i="11" s="1"/>
  <c r="K51" i="11"/>
  <c r="K15" i="11"/>
  <c r="H15" i="11" s="1"/>
  <c r="K61" i="11"/>
  <c r="K19" i="11"/>
  <c r="K79" i="11"/>
  <c r="H79" i="11" s="1"/>
  <c r="K28" i="11"/>
  <c r="K99" i="11"/>
  <c r="I25" i="11"/>
  <c r="L25" i="11" s="1"/>
  <c r="M25" i="11"/>
  <c r="K59" i="11"/>
  <c r="K85" i="11"/>
  <c r="K81" i="11"/>
  <c r="K91" i="11"/>
  <c r="H22" i="11"/>
  <c r="K75" i="11"/>
  <c r="K60" i="11"/>
  <c r="M65" i="11"/>
  <c r="I65" i="11"/>
  <c r="L65" i="11" s="1"/>
  <c r="K27" i="11"/>
  <c r="K30" i="11"/>
  <c r="H30" i="11" s="1"/>
  <c r="K66" i="11"/>
  <c r="K96" i="11"/>
  <c r="H96" i="11" s="1"/>
  <c r="K31" i="11"/>
  <c r="M73" i="11"/>
  <c r="I73" i="11"/>
  <c r="L73" i="11" s="1"/>
  <c r="N32" i="9"/>
  <c r="N33" i="9"/>
  <c r="N34" i="9"/>
  <c r="N35" i="9"/>
  <c r="N3" i="9"/>
  <c r="N4" i="9"/>
  <c r="N36" i="9"/>
  <c r="N37" i="9"/>
  <c r="N38" i="9"/>
  <c r="N5" i="9"/>
  <c r="N6" i="9"/>
  <c r="N7" i="9"/>
  <c r="N8" i="9"/>
  <c r="N39" i="9"/>
  <c r="N40" i="9"/>
  <c r="N9" i="9"/>
  <c r="N41" i="9"/>
  <c r="N42" i="9"/>
  <c r="N43" i="9"/>
  <c r="N10" i="9"/>
  <c r="N44" i="9"/>
  <c r="N11" i="9"/>
  <c r="N45" i="9"/>
  <c r="N46" i="9"/>
  <c r="N47" i="9"/>
  <c r="N48" i="9"/>
  <c r="N49" i="9"/>
  <c r="N31" i="9"/>
  <c r="E32" i="9"/>
  <c r="E33" i="9"/>
  <c r="E34" i="9"/>
  <c r="E35" i="9"/>
  <c r="M12" i="9" s="1"/>
  <c r="O12" i="9" s="1"/>
  <c r="E3" i="9"/>
  <c r="M3" i="9" s="1"/>
  <c r="E4" i="9"/>
  <c r="M4" i="9" s="1"/>
  <c r="E36" i="9"/>
  <c r="E37" i="9"/>
  <c r="E38" i="9"/>
  <c r="E5" i="9"/>
  <c r="E6" i="9"/>
  <c r="M6" i="9" s="1"/>
  <c r="E7" i="9"/>
  <c r="E8" i="9"/>
  <c r="E39" i="9"/>
  <c r="E40" i="9"/>
  <c r="E9" i="9"/>
  <c r="M9" i="9" s="1"/>
  <c r="E41" i="9"/>
  <c r="M15" i="9" s="1"/>
  <c r="O15" i="9" s="1"/>
  <c r="E42" i="9"/>
  <c r="M57" i="9" s="1"/>
  <c r="O57" i="9" s="1"/>
  <c r="E43" i="9"/>
  <c r="M58" i="9" s="1"/>
  <c r="O58" i="9" s="1"/>
  <c r="E10" i="9"/>
  <c r="E44" i="9"/>
  <c r="M59" i="9" s="1"/>
  <c r="O59" i="9" s="1"/>
  <c r="E11" i="9"/>
  <c r="M11" i="9" s="1"/>
  <c r="E45" i="9"/>
  <c r="E46" i="9"/>
  <c r="E47" i="9"/>
  <c r="M60" i="9" s="1"/>
  <c r="O60" i="9" s="1"/>
  <c r="E48" i="9"/>
  <c r="E49" i="9"/>
  <c r="E31" i="9"/>
  <c r="M16" i="11" l="1"/>
  <c r="N62" i="11"/>
  <c r="I98" i="11"/>
  <c r="L98" i="11" s="1"/>
  <c r="I90" i="11"/>
  <c r="L90" i="11" s="1"/>
  <c r="M55" i="11"/>
  <c r="I55" i="11"/>
  <c r="L55" i="11" s="1"/>
  <c r="N90" i="11"/>
  <c r="M71" i="11"/>
  <c r="N71" i="11"/>
  <c r="N78" i="11"/>
  <c r="I21" i="11"/>
  <c r="L21" i="11" s="1"/>
  <c r="M13" i="11"/>
  <c r="I13" i="11"/>
  <c r="L13" i="11" s="1"/>
  <c r="I50" i="11"/>
  <c r="L50" i="11" s="1"/>
  <c r="I89" i="11"/>
  <c r="L89" i="11" s="1"/>
  <c r="M89" i="11"/>
  <c r="M95" i="11"/>
  <c r="N21" i="11"/>
  <c r="M50" i="11"/>
  <c r="N14" i="11"/>
  <c r="N102" i="11"/>
  <c r="M24" i="11"/>
  <c r="I80" i="11"/>
  <c r="L80" i="11" s="1"/>
  <c r="I14" i="11"/>
  <c r="L14" i="11" s="1"/>
  <c r="M78" i="11"/>
  <c r="M102" i="11"/>
  <c r="I24" i="11"/>
  <c r="L24" i="11" s="1"/>
  <c r="I95" i="11"/>
  <c r="L95" i="11" s="1"/>
  <c r="M94" i="11"/>
  <c r="I94" i="11"/>
  <c r="L94" i="11" s="1"/>
  <c r="N84" i="11"/>
  <c r="M58" i="11"/>
  <c r="N20" i="11"/>
  <c r="M103" i="11"/>
  <c r="I58" i="11"/>
  <c r="L58" i="11" s="1"/>
  <c r="N88" i="11"/>
  <c r="I88" i="11"/>
  <c r="L88" i="11" s="1"/>
  <c r="M88" i="11"/>
  <c r="I103" i="11"/>
  <c r="L103" i="11" s="1"/>
  <c r="H70" i="11"/>
  <c r="N70" i="11" s="1"/>
  <c r="H97" i="11"/>
  <c r="N97" i="11" s="1"/>
  <c r="N23" i="11"/>
  <c r="I23" i="11"/>
  <c r="L23" i="11" s="1"/>
  <c r="M23" i="11"/>
  <c r="M64" i="11"/>
  <c r="I64" i="11"/>
  <c r="L64" i="11" s="1"/>
  <c r="N82" i="11"/>
  <c r="I82" i="11"/>
  <c r="L82" i="11" s="1"/>
  <c r="M82" i="11"/>
  <c r="M80" i="11"/>
  <c r="I92" i="11"/>
  <c r="L92" i="11" s="1"/>
  <c r="M92" i="11"/>
  <c r="N72" i="11"/>
  <c r="M72" i="11"/>
  <c r="I72" i="11"/>
  <c r="L72" i="11" s="1"/>
  <c r="H69" i="11"/>
  <c r="N69" i="11" s="1"/>
  <c r="N77" i="11"/>
  <c r="M77" i="11"/>
  <c r="I77" i="11"/>
  <c r="L77" i="11" s="1"/>
  <c r="H74" i="11"/>
  <c r="N74" i="11" s="1"/>
  <c r="N87" i="11"/>
  <c r="I87" i="11"/>
  <c r="L87" i="11" s="1"/>
  <c r="M86" i="11"/>
  <c r="N86" i="11"/>
  <c r="M87" i="11"/>
  <c r="H18" i="11"/>
  <c r="N18" i="11" s="1"/>
  <c r="H60" i="11"/>
  <c r="N60" i="11" s="1"/>
  <c r="N79" i="11"/>
  <c r="I79" i="11"/>
  <c r="L79" i="11" s="1"/>
  <c r="M79" i="11"/>
  <c r="N15" i="11"/>
  <c r="M15" i="11"/>
  <c r="I15" i="11"/>
  <c r="L15" i="11" s="1"/>
  <c r="H75" i="11"/>
  <c r="N75" i="11" s="1"/>
  <c r="H66" i="11"/>
  <c r="N66" i="11" s="1"/>
  <c r="N22" i="11"/>
  <c r="I22" i="11"/>
  <c r="L22" i="11" s="1"/>
  <c r="M22" i="11"/>
  <c r="M76" i="11"/>
  <c r="I76" i="11"/>
  <c r="L76" i="11" s="1"/>
  <c r="I17" i="11"/>
  <c r="L17" i="11" s="1"/>
  <c r="M17" i="11"/>
  <c r="H91" i="11"/>
  <c r="N91" i="11" s="1"/>
  <c r="M57" i="11"/>
  <c r="I57" i="11"/>
  <c r="L57" i="11" s="1"/>
  <c r="H31" i="11"/>
  <c r="H81" i="11"/>
  <c r="N81" i="11" s="1"/>
  <c r="H99" i="11"/>
  <c r="N99" i="11" s="1"/>
  <c r="I84" i="11"/>
  <c r="L84" i="11" s="1"/>
  <c r="M84" i="11"/>
  <c r="N96" i="11"/>
  <c r="I96" i="11"/>
  <c r="L96" i="11" s="1"/>
  <c r="M96" i="11"/>
  <c r="H85" i="11"/>
  <c r="N85" i="11" s="1"/>
  <c r="M83" i="11"/>
  <c r="I83" i="11"/>
  <c r="L83" i="11" s="1"/>
  <c r="H19" i="11"/>
  <c r="N19" i="11" s="1"/>
  <c r="I20" i="11"/>
  <c r="L20" i="11" s="1"/>
  <c r="M20" i="11"/>
  <c r="N30" i="11"/>
  <c r="I30" i="11"/>
  <c r="L30" i="11" s="1"/>
  <c r="M30" i="11"/>
  <c r="H27" i="11"/>
  <c r="N27" i="11" s="1"/>
  <c r="M67" i="11"/>
  <c r="I67" i="11"/>
  <c r="L67" i="11" s="1"/>
  <c r="H59" i="11"/>
  <c r="N59" i="11" s="1"/>
  <c r="H28" i="11"/>
  <c r="N28" i="11" s="1"/>
  <c r="H61" i="11"/>
  <c r="N61" i="11" s="1"/>
  <c r="H51" i="11"/>
  <c r="M50" i="9"/>
  <c r="O50" i="9" s="1"/>
  <c r="M40" i="9"/>
  <c r="O40" i="9" s="1"/>
  <c r="M56" i="9"/>
  <c r="O56" i="9" s="1"/>
  <c r="M49" i="9"/>
  <c r="O49" i="9" s="1"/>
  <c r="M62" i="9"/>
  <c r="O62" i="9" s="1"/>
  <c r="M34" i="9"/>
  <c r="O34" i="9" s="1"/>
  <c r="M53" i="9"/>
  <c r="O53" i="9" s="1"/>
  <c r="M61" i="9"/>
  <c r="O61" i="9" s="1"/>
  <c r="M39" i="9"/>
  <c r="O39" i="9" s="1"/>
  <c r="M14" i="9"/>
  <c r="O14" i="9" s="1"/>
  <c r="M52" i="9"/>
  <c r="O52" i="9" s="1"/>
  <c r="M36" i="9"/>
  <c r="O36" i="9" s="1"/>
  <c r="M54" i="9"/>
  <c r="O54" i="9" s="1"/>
  <c r="M51" i="9"/>
  <c r="O51" i="9" s="1"/>
  <c r="M46" i="9"/>
  <c r="O46" i="9" s="1"/>
  <c r="M17" i="9"/>
  <c r="O17" i="9" s="1"/>
  <c r="M45" i="9"/>
  <c r="O45" i="9" s="1"/>
  <c r="M16" i="9"/>
  <c r="O16" i="9" s="1"/>
  <c r="M55" i="9"/>
  <c r="O55" i="9" s="1"/>
  <c r="M37" i="9"/>
  <c r="O37" i="9" s="1"/>
  <c r="M13" i="9"/>
  <c r="O13" i="9" s="1"/>
  <c r="O9" i="9"/>
  <c r="O3" i="9"/>
  <c r="M44" i="9"/>
  <c r="O44" i="9" s="1"/>
  <c r="M43" i="9"/>
  <c r="O43" i="9" s="1"/>
  <c r="O6" i="9"/>
  <c r="M8" i="9"/>
  <c r="O8" i="9" s="1"/>
  <c r="M10" i="9"/>
  <c r="O10" i="9" s="1"/>
  <c r="M7" i="9"/>
  <c r="O7" i="9" s="1"/>
  <c r="M35" i="9"/>
  <c r="O35" i="9" s="1"/>
  <c r="O4" i="9"/>
  <c r="M48" i="9"/>
  <c r="O48" i="9" s="1"/>
  <c r="M42" i="9"/>
  <c r="O42" i="9" s="1"/>
  <c r="M5" i="9"/>
  <c r="O5" i="9" s="1"/>
  <c r="M33" i="9"/>
  <c r="O33" i="9" s="1"/>
  <c r="M47" i="9"/>
  <c r="O47" i="9" s="1"/>
  <c r="M41" i="9"/>
  <c r="O41" i="9" s="1"/>
  <c r="M38" i="9"/>
  <c r="O38" i="9" s="1"/>
  <c r="M32" i="9"/>
  <c r="O32" i="9" s="1"/>
  <c r="O11" i="9"/>
  <c r="M31" i="9"/>
  <c r="O31" i="9" s="1"/>
  <c r="M69" i="11" l="1"/>
  <c r="I69" i="11"/>
  <c r="L69" i="11" s="1"/>
  <c r="M97" i="11"/>
  <c r="I97" i="11"/>
  <c r="L97" i="11" s="1"/>
  <c r="I70" i="11"/>
  <c r="L70" i="11" s="1"/>
  <c r="M70" i="11"/>
  <c r="M74" i="11"/>
  <c r="I74" i="11"/>
  <c r="L74" i="11" s="1"/>
  <c r="M18" i="11"/>
  <c r="I18" i="11"/>
  <c r="L18" i="11" s="1"/>
  <c r="I31" i="11"/>
  <c r="L31" i="11" s="1"/>
  <c r="M31" i="11"/>
  <c r="I61" i="11"/>
  <c r="L61" i="11" s="1"/>
  <c r="M61" i="11"/>
  <c r="I51" i="11"/>
  <c r="L51" i="11" s="1"/>
  <c r="M51" i="11"/>
  <c r="I28" i="11"/>
  <c r="L28" i="11" s="1"/>
  <c r="M28" i="11"/>
  <c r="I99" i="11"/>
  <c r="L99" i="11" s="1"/>
  <c r="M99" i="11"/>
  <c r="M91" i="11"/>
  <c r="I91" i="11"/>
  <c r="L91" i="11" s="1"/>
  <c r="I85" i="11"/>
  <c r="L85" i="11" s="1"/>
  <c r="M85" i="11"/>
  <c r="I66" i="11"/>
  <c r="L66" i="11" s="1"/>
  <c r="M66" i="11"/>
  <c r="M59" i="11"/>
  <c r="I59" i="11"/>
  <c r="L59" i="11" s="1"/>
  <c r="I81" i="11"/>
  <c r="L81" i="11" s="1"/>
  <c r="M81" i="11"/>
  <c r="M19" i="11"/>
  <c r="I19" i="11"/>
  <c r="L19" i="11" s="1"/>
  <c r="M27" i="11"/>
  <c r="I27" i="11"/>
  <c r="L27" i="11" s="1"/>
  <c r="N51" i="11"/>
  <c r="N31" i="11"/>
  <c r="I75" i="11"/>
  <c r="L75" i="11" s="1"/>
  <c r="M75" i="11"/>
  <c r="I60" i="11"/>
  <c r="L60" i="11" s="1"/>
  <c r="M60" i="11"/>
  <c r="AD16" i="11"/>
  <c r="AC17" i="11"/>
  <c r="AC18" i="11"/>
  <c r="AC19" i="11"/>
  <c r="AD15" i="11"/>
  <c r="C49" i="11"/>
  <c r="C48" i="11"/>
  <c r="C47" i="11"/>
  <c r="C46" i="11"/>
  <c r="C12" i="11"/>
  <c r="C45" i="11"/>
  <c r="C11" i="11"/>
  <c r="C44" i="11"/>
  <c r="C43" i="11"/>
  <c r="C42" i="11"/>
  <c r="C10" i="11"/>
  <c r="C41" i="11"/>
  <c r="C40" i="11"/>
  <c r="C9" i="11"/>
  <c r="C8" i="11"/>
  <c r="C7" i="11"/>
  <c r="C6" i="11"/>
  <c r="C39" i="11"/>
  <c r="C38" i="11"/>
  <c r="C37" i="11"/>
  <c r="C5" i="11"/>
  <c r="C4" i="11"/>
  <c r="C36" i="11"/>
  <c r="C35" i="11"/>
  <c r="C34" i="11"/>
  <c r="C33" i="11"/>
  <c r="C32" i="11"/>
  <c r="G4" i="11" l="1"/>
  <c r="P4" i="11" s="1"/>
  <c r="E40" i="11"/>
  <c r="R40" i="11" s="1"/>
  <c r="G40" i="11"/>
  <c r="E12" i="11"/>
  <c r="R12" i="11" s="1"/>
  <c r="G12" i="11"/>
  <c r="E37" i="11"/>
  <c r="R37" i="11" s="1"/>
  <c r="G37" i="11"/>
  <c r="E41" i="11"/>
  <c r="R41" i="11" s="1"/>
  <c r="G41" i="11"/>
  <c r="E46" i="11"/>
  <c r="R46" i="11" s="1"/>
  <c r="G46" i="11"/>
  <c r="E10" i="11"/>
  <c r="R10" i="11" s="1"/>
  <c r="G10" i="11"/>
  <c r="E47" i="11"/>
  <c r="R47" i="11" s="1"/>
  <c r="G47" i="11"/>
  <c r="E33" i="11"/>
  <c r="R33" i="11" s="1"/>
  <c r="G33" i="11"/>
  <c r="E42" i="11"/>
  <c r="R42" i="11" s="1"/>
  <c r="G42" i="11"/>
  <c r="E48" i="11"/>
  <c r="R48" i="11" s="1"/>
  <c r="G48" i="11"/>
  <c r="E5" i="11"/>
  <c r="R5" i="11" s="1"/>
  <c r="G5" i="11"/>
  <c r="E34" i="11"/>
  <c r="R34" i="11" s="1"/>
  <c r="G34" i="11"/>
  <c r="E43" i="11"/>
  <c r="R43" i="11" s="1"/>
  <c r="G43" i="11"/>
  <c r="E49" i="11"/>
  <c r="R49" i="11" s="1"/>
  <c r="G49" i="11"/>
  <c r="E39" i="11"/>
  <c r="R39" i="11" s="1"/>
  <c r="G39" i="11"/>
  <c r="E7" i="11"/>
  <c r="R7" i="11" s="1"/>
  <c r="G7" i="11"/>
  <c r="E44" i="11"/>
  <c r="R44" i="11" s="1"/>
  <c r="G44" i="11"/>
  <c r="E32" i="11"/>
  <c r="R32" i="11" s="1"/>
  <c r="G32" i="11"/>
  <c r="E6" i="11"/>
  <c r="R6" i="11" s="1"/>
  <c r="G6" i="11"/>
  <c r="E35" i="11"/>
  <c r="R35" i="11" s="1"/>
  <c r="G35" i="11"/>
  <c r="E36" i="11"/>
  <c r="R36" i="11" s="1"/>
  <c r="G36" i="11"/>
  <c r="E8" i="11"/>
  <c r="R8" i="11" s="1"/>
  <c r="G8" i="11"/>
  <c r="E11" i="11"/>
  <c r="T11" i="11" s="1"/>
  <c r="G11" i="11"/>
  <c r="E38" i="11"/>
  <c r="X38" i="11" s="1"/>
  <c r="G38" i="11"/>
  <c r="Q4" i="11"/>
  <c r="E9" i="11"/>
  <c r="R9" i="11" s="1"/>
  <c r="G9" i="11"/>
  <c r="E45" i="11"/>
  <c r="R45" i="11" s="1"/>
  <c r="G45" i="11"/>
  <c r="W77" i="11"/>
  <c r="W56" i="11"/>
  <c r="W100" i="11"/>
  <c r="W99" i="11"/>
  <c r="W86" i="11"/>
  <c r="W83" i="11"/>
  <c r="W73" i="11"/>
  <c r="W68" i="11"/>
  <c r="W28" i="11"/>
  <c r="W31" i="11"/>
  <c r="W53" i="11"/>
  <c r="W69" i="11"/>
  <c r="W16" i="11"/>
  <c r="W54" i="11"/>
  <c r="W30" i="11"/>
  <c r="W101" i="11"/>
  <c r="W67" i="11"/>
  <c r="W17" i="11"/>
  <c r="W18" i="11"/>
  <c r="W60" i="11"/>
  <c r="W21" i="11"/>
  <c r="W52" i="11"/>
  <c r="W89" i="11"/>
  <c r="W98" i="11"/>
  <c r="W66" i="11"/>
  <c r="W92" i="11"/>
  <c r="W55" i="11"/>
  <c r="W14" i="11"/>
  <c r="W63" i="11"/>
  <c r="W81" i="11"/>
  <c r="W51" i="11"/>
  <c r="W26" i="11"/>
  <c r="W82" i="11"/>
  <c r="W91" i="11"/>
  <c r="W65" i="11"/>
  <c r="W59" i="11"/>
  <c r="W61" i="11"/>
  <c r="W95" i="11"/>
  <c r="W80" i="11"/>
  <c r="W87" i="11"/>
  <c r="W76" i="11"/>
  <c r="W20" i="11"/>
  <c r="W84" i="11"/>
  <c r="W78" i="11"/>
  <c r="W85" i="11"/>
  <c r="W88" i="11"/>
  <c r="W13" i="11"/>
  <c r="AD19" i="11"/>
  <c r="T103" i="11"/>
  <c r="T22" i="11"/>
  <c r="T96" i="11"/>
  <c r="T74" i="11"/>
  <c r="T79" i="11"/>
  <c r="T15" i="11"/>
  <c r="T97" i="11"/>
  <c r="T29" i="11"/>
  <c r="T64" i="11"/>
  <c r="T57" i="11"/>
  <c r="T24" i="11"/>
  <c r="T19" i="11"/>
  <c r="T94" i="11"/>
  <c r="E4" i="11"/>
  <c r="C20" i="14"/>
  <c r="AD17" i="11"/>
  <c r="T93" i="11"/>
  <c r="T58" i="11"/>
  <c r="T70" i="11"/>
  <c r="T27" i="11"/>
  <c r="T71" i="11"/>
  <c r="T102" i="11"/>
  <c r="T90" i="11"/>
  <c r="T75" i="11"/>
  <c r="T50" i="11"/>
  <c r="T25" i="11"/>
  <c r="T72" i="11"/>
  <c r="T23" i="11"/>
  <c r="T62" i="11"/>
  <c r="T49" i="11"/>
  <c r="T37" i="11"/>
  <c r="T39" i="11"/>
  <c r="T47" i="11"/>
  <c r="T48" i="11"/>
  <c r="X50" i="11"/>
  <c r="X5" i="11"/>
  <c r="X42" i="11"/>
  <c r="X10" i="11"/>
  <c r="X47" i="11"/>
  <c r="X40" i="11" l="1"/>
  <c r="T40" i="11"/>
  <c r="W40" i="11" s="1"/>
  <c r="X12" i="11"/>
  <c r="T12" i="11"/>
  <c r="U12" i="11" s="1"/>
  <c r="X43" i="11"/>
  <c r="X36" i="11"/>
  <c r="T46" i="11"/>
  <c r="V46" i="11" s="1"/>
  <c r="X48" i="11"/>
  <c r="T8" i="11"/>
  <c r="W8" i="11" s="1"/>
  <c r="T33" i="11"/>
  <c r="U33" i="11" s="1"/>
  <c r="X39" i="11"/>
  <c r="T5" i="11"/>
  <c r="U5" i="11" s="1"/>
  <c r="X37" i="11"/>
  <c r="X49" i="11"/>
  <c r="T10" i="11"/>
  <c r="V10" i="11" s="1"/>
  <c r="O4" i="11"/>
  <c r="X6" i="11"/>
  <c r="X7" i="11"/>
  <c r="X34" i="11"/>
  <c r="T43" i="11"/>
  <c r="V43" i="11" s="1"/>
  <c r="T35" i="11"/>
  <c r="X33" i="11"/>
  <c r="X41" i="11"/>
  <c r="T41" i="11"/>
  <c r="U41" i="11" s="1"/>
  <c r="X8" i="11"/>
  <c r="T36" i="11"/>
  <c r="W36" i="11" s="1"/>
  <c r="T42" i="11"/>
  <c r="U42" i="11" s="1"/>
  <c r="T9" i="11"/>
  <c r="U9" i="11" s="1"/>
  <c r="X9" i="11"/>
  <c r="T44" i="11"/>
  <c r="W44" i="11" s="1"/>
  <c r="T7" i="11"/>
  <c r="V7" i="11" s="1"/>
  <c r="X32" i="11"/>
  <c r="X44" i="11"/>
  <c r="T34" i="11"/>
  <c r="W34" i="11" s="1"/>
  <c r="T32" i="11"/>
  <c r="W32" i="11" s="1"/>
  <c r="T6" i="11"/>
  <c r="W6" i="11" s="1"/>
  <c r="X46" i="11"/>
  <c r="X35" i="11"/>
  <c r="X4" i="11"/>
  <c r="C3" i="15" s="1"/>
  <c r="R4" i="11"/>
  <c r="C2" i="15" s="1"/>
  <c r="X11" i="11"/>
  <c r="R11" i="11"/>
  <c r="X45" i="11"/>
  <c r="T45" i="11"/>
  <c r="V45" i="11" s="1"/>
  <c r="T38" i="11"/>
  <c r="U38" i="11" s="1"/>
  <c r="R38" i="11"/>
  <c r="T4" i="11"/>
  <c r="W4" i="11" s="1"/>
  <c r="O38" i="11"/>
  <c r="P38" i="11"/>
  <c r="Q38" i="11"/>
  <c r="Q35" i="11"/>
  <c r="P35" i="11"/>
  <c r="O35" i="11"/>
  <c r="O7" i="11"/>
  <c r="Q7" i="11"/>
  <c r="P7" i="11"/>
  <c r="P34" i="11"/>
  <c r="Q34" i="11"/>
  <c r="O34" i="11"/>
  <c r="P33" i="11"/>
  <c r="Q33" i="11"/>
  <c r="O33" i="11"/>
  <c r="P41" i="11"/>
  <c r="Q41" i="11"/>
  <c r="O41" i="11"/>
  <c r="P45" i="11"/>
  <c r="Q45" i="11"/>
  <c r="O45" i="11"/>
  <c r="O11" i="11"/>
  <c r="P11" i="11"/>
  <c r="Q11" i="11"/>
  <c r="P6" i="11"/>
  <c r="Q6" i="11"/>
  <c r="O6" i="11"/>
  <c r="O39" i="11"/>
  <c r="P39" i="11"/>
  <c r="Q39" i="11"/>
  <c r="P5" i="11"/>
  <c r="Q5" i="11"/>
  <c r="O5" i="11"/>
  <c r="O47" i="11"/>
  <c r="Q47" i="11"/>
  <c r="P47" i="11"/>
  <c r="P37" i="11"/>
  <c r="Q37" i="11"/>
  <c r="O37" i="11"/>
  <c r="P9" i="11"/>
  <c r="Q9" i="11"/>
  <c r="O9" i="11"/>
  <c r="Q8" i="11"/>
  <c r="P8" i="11"/>
  <c r="O8" i="11"/>
  <c r="O32" i="11"/>
  <c r="P32" i="11"/>
  <c r="Q32" i="11"/>
  <c r="P49" i="11"/>
  <c r="Q49" i="11"/>
  <c r="O49" i="11"/>
  <c r="O48" i="11"/>
  <c r="P48" i="11"/>
  <c r="Q48" i="11"/>
  <c r="Q10" i="11"/>
  <c r="P10" i="11"/>
  <c r="O10" i="11"/>
  <c r="O12" i="11"/>
  <c r="P12" i="11"/>
  <c r="Q12" i="11"/>
  <c r="K4" i="11"/>
  <c r="Q36" i="11"/>
  <c r="P36" i="11"/>
  <c r="O36" i="11"/>
  <c r="P44" i="11"/>
  <c r="O44" i="11"/>
  <c r="Q44" i="11"/>
  <c r="P43" i="11"/>
  <c r="O43" i="11"/>
  <c r="Q43" i="11"/>
  <c r="Q42" i="11"/>
  <c r="O42" i="11"/>
  <c r="P42" i="11"/>
  <c r="Q46" i="11"/>
  <c r="P46" i="11"/>
  <c r="O46" i="11"/>
  <c r="Q40" i="11"/>
  <c r="O40" i="11"/>
  <c r="P40" i="11"/>
  <c r="W23" i="11"/>
  <c r="V23" i="11"/>
  <c r="U23" i="11"/>
  <c r="W27" i="11"/>
  <c r="U27" i="11"/>
  <c r="V27" i="11"/>
  <c r="U64" i="11"/>
  <c r="V64" i="11"/>
  <c r="W64" i="11"/>
  <c r="V103" i="11"/>
  <c r="U103" i="11"/>
  <c r="W103" i="11"/>
  <c r="V72" i="11"/>
  <c r="U72" i="11"/>
  <c r="W72" i="11"/>
  <c r="U70" i="11"/>
  <c r="W70" i="11"/>
  <c r="V70" i="11"/>
  <c r="U29" i="11"/>
  <c r="W29" i="11"/>
  <c r="V29" i="11"/>
  <c r="U25" i="11"/>
  <c r="W25" i="11"/>
  <c r="V25" i="11"/>
  <c r="V58" i="11"/>
  <c r="U58" i="11"/>
  <c r="W58" i="11"/>
  <c r="V97" i="11"/>
  <c r="U97" i="11"/>
  <c r="W97" i="11"/>
  <c r="U93" i="11"/>
  <c r="W93" i="11"/>
  <c r="V93" i="11"/>
  <c r="U15" i="11"/>
  <c r="V15" i="11"/>
  <c r="W15" i="11"/>
  <c r="W75" i="11"/>
  <c r="V75" i="11"/>
  <c r="U75" i="11"/>
  <c r="V94" i="11"/>
  <c r="W94" i="11"/>
  <c r="U94" i="11"/>
  <c r="U79" i="11"/>
  <c r="W79" i="11"/>
  <c r="V79" i="11"/>
  <c r="W90" i="11"/>
  <c r="V90" i="11"/>
  <c r="U90" i="11"/>
  <c r="V19" i="11"/>
  <c r="W19" i="11"/>
  <c r="U19" i="11"/>
  <c r="U74" i="11"/>
  <c r="V74" i="11"/>
  <c r="W74" i="11"/>
  <c r="V102" i="11"/>
  <c r="W102" i="11"/>
  <c r="U102" i="11"/>
  <c r="U24" i="11"/>
  <c r="W24" i="11"/>
  <c r="V24" i="11"/>
  <c r="U96" i="11"/>
  <c r="V96" i="11"/>
  <c r="W96" i="11"/>
  <c r="W62" i="11"/>
  <c r="U62" i="11"/>
  <c r="V62" i="11"/>
  <c r="W71" i="11"/>
  <c r="U71" i="11"/>
  <c r="V71" i="11"/>
  <c r="U57" i="11"/>
  <c r="W57" i="11"/>
  <c r="V57" i="11"/>
  <c r="U22" i="11"/>
  <c r="W22" i="11"/>
  <c r="V22" i="11"/>
  <c r="U40" i="11"/>
  <c r="U35" i="11"/>
  <c r="V35" i="11"/>
  <c r="W35" i="11"/>
  <c r="U47" i="11"/>
  <c r="V47" i="11"/>
  <c r="W47" i="11"/>
  <c r="U39" i="11"/>
  <c r="V39" i="11"/>
  <c r="W39" i="11"/>
  <c r="W48" i="11"/>
  <c r="V48" i="11"/>
  <c r="U48" i="11"/>
  <c r="W46" i="11"/>
  <c r="V32" i="11"/>
  <c r="W11" i="11"/>
  <c r="V11" i="11"/>
  <c r="U11" i="11"/>
  <c r="U50" i="11"/>
  <c r="V50" i="11"/>
  <c r="W50" i="11"/>
  <c r="U49" i="11"/>
  <c r="V49" i="11"/>
  <c r="W49" i="11"/>
  <c r="U37" i="11"/>
  <c r="V37" i="11"/>
  <c r="W37" i="11"/>
  <c r="W12" i="11" l="1"/>
  <c r="V12" i="11"/>
  <c r="U46" i="11"/>
  <c r="W42" i="11"/>
  <c r="V42" i="11"/>
  <c r="V8" i="11"/>
  <c r="V40" i="11"/>
  <c r="U8" i="11"/>
  <c r="U10" i="11"/>
  <c r="V36" i="11"/>
  <c r="U6" i="11"/>
  <c r="U36" i="11"/>
  <c r="W33" i="11"/>
  <c r="W10" i="11"/>
  <c r="V33" i="11"/>
  <c r="V34" i="11"/>
  <c r="W5" i="11"/>
  <c r="V6" i="11"/>
  <c r="U45" i="11"/>
  <c r="V5" i="11"/>
  <c r="W9" i="11"/>
  <c r="V44" i="11"/>
  <c r="V4" i="11"/>
  <c r="U32" i="11"/>
  <c r="K35" i="11"/>
  <c r="H35" i="11" s="1"/>
  <c r="N35" i="11" s="1"/>
  <c r="U44" i="11"/>
  <c r="K45" i="11"/>
  <c r="H45" i="11" s="1"/>
  <c r="N45" i="11" s="1"/>
  <c r="U43" i="11"/>
  <c r="W45" i="11"/>
  <c r="V9" i="11"/>
  <c r="W43" i="11"/>
  <c r="K32" i="11"/>
  <c r="H32" i="11" s="1"/>
  <c r="M32" i="11" s="1"/>
  <c r="K5" i="11"/>
  <c r="H5" i="11" s="1"/>
  <c r="N5" i="11" s="1"/>
  <c r="W41" i="11"/>
  <c r="V41" i="11"/>
  <c r="W7" i="11"/>
  <c r="U7" i="11"/>
  <c r="U4" i="11"/>
  <c r="U34" i="11"/>
  <c r="W38" i="11"/>
  <c r="V38" i="11"/>
  <c r="K36" i="11"/>
  <c r="H36" i="11" s="1"/>
  <c r="K9" i="11"/>
  <c r="H9" i="11" s="1"/>
  <c r="N9" i="11" s="1"/>
  <c r="K41" i="11"/>
  <c r="H41" i="11" s="1"/>
  <c r="N41" i="11" s="1"/>
  <c r="K48" i="11"/>
  <c r="H48" i="11" s="1"/>
  <c r="M48" i="11" s="1"/>
  <c r="K37" i="11"/>
  <c r="H37" i="11" s="1"/>
  <c r="N37" i="11" s="1"/>
  <c r="K39" i="11"/>
  <c r="H39" i="11" s="1"/>
  <c r="M39" i="11" s="1"/>
  <c r="K33" i="11"/>
  <c r="H33" i="11" s="1"/>
  <c r="N33" i="11" s="1"/>
  <c r="K43" i="11"/>
  <c r="H43" i="11" s="1"/>
  <c r="N43" i="11" s="1"/>
  <c r="K8" i="11"/>
  <c r="H8" i="11" s="1"/>
  <c r="M8" i="11" s="1"/>
  <c r="K34" i="11"/>
  <c r="H34" i="11" s="1"/>
  <c r="M34" i="11" s="1"/>
  <c r="K38" i="11"/>
  <c r="H38" i="11" s="1"/>
  <c r="I38" i="11" s="1"/>
  <c r="L38" i="11" s="1"/>
  <c r="K40" i="11"/>
  <c r="H40" i="11" s="1"/>
  <c r="K11" i="11"/>
  <c r="K47" i="11"/>
  <c r="K46" i="11"/>
  <c r="H46" i="11" s="1"/>
  <c r="K12" i="11"/>
  <c r="K42" i="11"/>
  <c r="K44" i="11"/>
  <c r="K49" i="11"/>
  <c r="K6" i="11"/>
  <c r="K7" i="11"/>
  <c r="H7" i="11" s="1"/>
  <c r="K10" i="11"/>
  <c r="I32" i="9"/>
  <c r="I33" i="9"/>
  <c r="I34" i="9"/>
  <c r="I35" i="9"/>
  <c r="I3" i="9"/>
  <c r="I4" i="9"/>
  <c r="I36" i="9"/>
  <c r="I37" i="9"/>
  <c r="I38" i="9"/>
  <c r="I5" i="9"/>
  <c r="I6" i="9"/>
  <c r="I7" i="9"/>
  <c r="I8" i="9"/>
  <c r="I39" i="9"/>
  <c r="I40" i="9"/>
  <c r="I9" i="9"/>
  <c r="I41" i="9"/>
  <c r="I42" i="9"/>
  <c r="I43" i="9"/>
  <c r="I10" i="9"/>
  <c r="I44" i="9"/>
  <c r="I11" i="9"/>
  <c r="I45" i="9"/>
  <c r="I46" i="9"/>
  <c r="I47" i="9"/>
  <c r="I48" i="9"/>
  <c r="I49" i="9"/>
  <c r="C31" i="9"/>
  <c r="G31" i="9" s="1"/>
  <c r="K32" i="9"/>
  <c r="K33" i="9"/>
  <c r="K34" i="9"/>
  <c r="K35" i="9"/>
  <c r="K3" i="9"/>
  <c r="K4" i="9"/>
  <c r="K36" i="9"/>
  <c r="K37" i="9"/>
  <c r="K38" i="9"/>
  <c r="K5" i="9"/>
  <c r="K6" i="9"/>
  <c r="K7" i="9"/>
  <c r="K8" i="9"/>
  <c r="K39" i="9"/>
  <c r="K40" i="9"/>
  <c r="K9" i="9"/>
  <c r="K41" i="9"/>
  <c r="K42" i="9"/>
  <c r="K43" i="9"/>
  <c r="K10" i="9"/>
  <c r="K44" i="9"/>
  <c r="K11" i="9"/>
  <c r="K45" i="9"/>
  <c r="K46" i="9"/>
  <c r="K47" i="9"/>
  <c r="K48" i="9"/>
  <c r="K49" i="9"/>
  <c r="K31" i="9"/>
  <c r="I32" i="11" l="1"/>
  <c r="L32" i="11" s="1"/>
  <c r="N32" i="11"/>
  <c r="I48" i="11"/>
  <c r="L48" i="11" s="1"/>
  <c r="N48" i="11"/>
  <c r="N36" i="11"/>
  <c r="I39" i="11"/>
  <c r="L39" i="11" s="1"/>
  <c r="N39" i="11"/>
  <c r="I8" i="11"/>
  <c r="L8" i="11" s="1"/>
  <c r="N8" i="11"/>
  <c r="N38" i="11"/>
  <c r="M38" i="11"/>
  <c r="I34" i="11"/>
  <c r="L34" i="11" s="1"/>
  <c r="N34" i="11"/>
  <c r="H49" i="11"/>
  <c r="N49" i="11" s="1"/>
  <c r="H44" i="11"/>
  <c r="N44" i="11" s="1"/>
  <c r="M5" i="11"/>
  <c r="I5" i="11"/>
  <c r="L5" i="11" s="1"/>
  <c r="H42" i="11"/>
  <c r="N42" i="11" s="1"/>
  <c r="I45" i="11"/>
  <c r="L45" i="11" s="1"/>
  <c r="M45" i="11"/>
  <c r="I43" i="11"/>
  <c r="L43" i="11" s="1"/>
  <c r="M43" i="11"/>
  <c r="I37" i="11"/>
  <c r="L37" i="11" s="1"/>
  <c r="M37" i="11"/>
  <c r="N46" i="11"/>
  <c r="I46" i="11"/>
  <c r="L46" i="11" s="1"/>
  <c r="M46" i="11"/>
  <c r="I35" i="11"/>
  <c r="L35" i="11" s="1"/>
  <c r="M35" i="11"/>
  <c r="H47" i="11"/>
  <c r="N47" i="11" s="1"/>
  <c r="H12" i="11"/>
  <c r="N12" i="11" s="1"/>
  <c r="I9" i="11"/>
  <c r="L9" i="11" s="1"/>
  <c r="M9" i="11"/>
  <c r="H10" i="11"/>
  <c r="N10" i="11" s="1"/>
  <c r="N7" i="11"/>
  <c r="M7" i="11"/>
  <c r="I7" i="11"/>
  <c r="L7" i="11" s="1"/>
  <c r="I33" i="11"/>
  <c r="L33" i="11" s="1"/>
  <c r="M33" i="11"/>
  <c r="I36" i="11"/>
  <c r="L36" i="11" s="1"/>
  <c r="M36" i="11"/>
  <c r="M41" i="11"/>
  <c r="I41" i="11"/>
  <c r="L41" i="11" s="1"/>
  <c r="H6" i="11"/>
  <c r="H11" i="11"/>
  <c r="N11" i="11" s="1"/>
  <c r="N40" i="11"/>
  <c r="M40" i="11"/>
  <c r="I40" i="11"/>
  <c r="L40" i="11" s="1"/>
  <c r="I31" i="9"/>
  <c r="G50" i="9"/>
  <c r="I50" i="9" s="1"/>
  <c r="AP4" i="11" a="1"/>
  <c r="AP4" i="11" s="1"/>
  <c r="I42" i="11" l="1"/>
  <c r="L42" i="11" s="1"/>
  <c r="M42" i="11"/>
  <c r="I6" i="11"/>
  <c r="L6" i="11" s="1"/>
  <c r="M6" i="11"/>
  <c r="N6" i="11"/>
  <c r="I47" i="11"/>
  <c r="L47" i="11" s="1"/>
  <c r="M47" i="11"/>
  <c r="I44" i="11"/>
  <c r="L44" i="11" s="1"/>
  <c r="M44" i="11"/>
  <c r="I11" i="11"/>
  <c r="L11" i="11" s="1"/>
  <c r="M11" i="11"/>
  <c r="I12" i="11"/>
  <c r="L12" i="11" s="1"/>
  <c r="M12" i="11"/>
  <c r="I10" i="11"/>
  <c r="L10" i="11" s="1"/>
  <c r="M10" i="11"/>
  <c r="M49" i="11"/>
  <c r="I49" i="11"/>
  <c r="L49" i="11" s="1"/>
  <c r="E3" i="15" l="1"/>
  <c r="E2" i="15"/>
  <c r="H4" i="11" l="1"/>
  <c r="D2" i="15"/>
  <c r="M4" i="11" l="1"/>
  <c r="N4" i="11"/>
  <c r="I4" i="11"/>
  <c r="L4" i="11" s="1"/>
  <c r="G2" i="15"/>
  <c r="D3" i="15"/>
  <c r="D24" i="14" l="1"/>
  <c r="B24" i="14"/>
  <c r="E24" i="14"/>
  <c r="C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Goar, Keaton J</author>
  </authors>
  <commentList>
    <comment ref="B89" authorId="0" shapeId="0" xr:uid="{230F1DEB-523B-4DC2-88B6-8A70DFAECE00}">
      <text>
        <r>
          <rPr>
            <b/>
            <sz val="9"/>
            <color indexed="81"/>
            <rFont val="Tahoma"/>
            <family val="2"/>
          </rPr>
          <t>Goar, Keaton J:</t>
        </r>
        <r>
          <rPr>
            <sz val="9"/>
            <color indexed="81"/>
            <rFont val="Tahoma"/>
            <family val="2"/>
          </rPr>
          <t xml:space="preserve">
Updated per Shanon 4/4/2024</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<sst xmlns="http://schemas.openxmlformats.org/spreadsheetml/2006/main" count="762" uniqueCount="199">
  <si>
    <t>CAB Program Cost Share Dashboard</t>
  </si>
  <si>
    <t>Disclaimer</t>
  </si>
  <si>
    <t>This CAB Match Calculator Tool is offered as a resource to assist counties and providers in estimating cost sharing for CAB-funded broadband projects in North Carolina. Data is informational and illustrative only and should not be relied upon as advice or instructions from NCDIT.  Providers are responsible for their own calculations and budget proposals in their response to an individual Scope of Work.  The total costs of awarded CAB projects will be apportioned among NCDIT, the county, and the selected broadband provider according to the percentages set out in N.C.G.S. §143B-1373.1(d) or (e).</t>
  </si>
  <si>
    <t>Instructions</t>
  </si>
  <si>
    <t>Note: You will only use the light yellow cells below</t>
  </si>
  <si>
    <t>1) Select the desired County you wish to analyze using the dropdown menu</t>
  </si>
  <si>
    <t>2) Select the desired Provider Share using the dropdown menu</t>
  </si>
  <si>
    <t>3) For each new County that you want to evaluate - Please repeat steps 1) and 2) in that order</t>
  </si>
  <si>
    <t>County Selection</t>
  </si>
  <si>
    <t>Provider Share</t>
  </si>
  <si>
    <t>Avery County</t>
  </si>
  <si>
    <t>Option A: Provider Share 15%</t>
  </si>
  <si>
    <t>County Details</t>
  </si>
  <si>
    <t>Commitment Form Status</t>
  </si>
  <si>
    <t>County ARPA Funds</t>
  </si>
  <si>
    <t>County Contribution Maximum</t>
  </si>
  <si>
    <t>Key Project Details</t>
  </si>
  <si>
    <t>Maximum Project Delivery</t>
  </si>
  <si>
    <t>County Share</t>
  </si>
  <si>
    <t>State Share</t>
  </si>
  <si>
    <t>END OF SHEET</t>
  </si>
  <si>
    <t>Based on County Contribution</t>
  </si>
  <si>
    <t>County Contribution</t>
  </si>
  <si>
    <t>Calculated</t>
  </si>
  <si>
    <t>Provided</t>
  </si>
  <si>
    <t>Assumptions/Scenarios</t>
  </si>
  <si>
    <t>Source</t>
  </si>
  <si>
    <t xml:space="preserve">County </t>
  </si>
  <si>
    <t>Commitment Form Received</t>
  </si>
  <si>
    <t>ARPA Funds</t>
  </si>
  <si>
    <t>Contribution Amount 
(up to)</t>
  </si>
  <si>
    <t>Scenario</t>
  </si>
  <si>
    <t>Total Project Size</t>
  </si>
  <si>
    <t>County Funds</t>
  </si>
  <si>
    <t>State Funds</t>
  </si>
  <si>
    <t>Provider Actual %</t>
  </si>
  <si>
    <t>County Actual %</t>
  </si>
  <si>
    <t>State Actual %</t>
  </si>
  <si>
    <t>Provider Max %</t>
  </si>
  <si>
    <t>County Minimum %</t>
  </si>
  <si>
    <t>State Maximum %</t>
  </si>
  <si>
    <t>Comment</t>
  </si>
  <si>
    <t>Project Size</t>
  </si>
  <si>
    <t>Provider Share ($)</t>
  </si>
  <si>
    <t>County Share ($)</t>
  </si>
  <si>
    <t>State Share ($)</t>
  </si>
  <si>
    <t>Statue</t>
  </si>
  <si>
    <t>Direct ARPA Funds 
Received by County</t>
  </si>
  <si>
    <t>Minimum</t>
  </si>
  <si>
    <t>Maximum</t>
  </si>
  <si>
    <t xml:space="preserve">Broadband Provider Responsibility </t>
  </si>
  <si>
    <t>County Responsibility</t>
  </si>
  <si>
    <t>State Responsibility</t>
  </si>
  <si>
    <t>Beaufort County</t>
  </si>
  <si>
    <t>d</t>
  </si>
  <si>
    <t>&lt;30%</t>
  </si>
  <si>
    <t>&gt;35%</t>
  </si>
  <si>
    <t>&lt;35%</t>
  </si>
  <si>
    <t>Buncombe County</t>
  </si>
  <si>
    <t>e</t>
  </si>
  <si>
    <t>&gt;10%</t>
  </si>
  <si>
    <t>&lt;75%</t>
  </si>
  <si>
    <t>Burke County</t>
  </si>
  <si>
    <t>&gt;15%</t>
  </si>
  <si>
    <t>50% of Remaining, no input required</t>
  </si>
  <si>
    <t>50% of Remaining</t>
  </si>
  <si>
    <t>Cabarrus County</t>
  </si>
  <si>
    <t>&gt;5%</t>
  </si>
  <si>
    <t>&lt;80%</t>
  </si>
  <si>
    <t>Caldwell County</t>
  </si>
  <si>
    <t>Caswell County</t>
  </si>
  <si>
    <t>Chowan County</t>
  </si>
  <si>
    <t>Cleveland County</t>
  </si>
  <si>
    <t>Edgecombe County</t>
  </si>
  <si>
    <t>Franklin County</t>
  </si>
  <si>
    <t>Category</t>
  </si>
  <si>
    <t>Broadband</t>
  </si>
  <si>
    <t>County</t>
  </si>
  <si>
    <t>State</t>
  </si>
  <si>
    <t>Gates County</t>
  </si>
  <si>
    <t>1</t>
  </si>
  <si>
    <t>Scenario 1: County Share 35%</t>
  </si>
  <si>
    <t>Granville County</t>
  </si>
  <si>
    <t>2 &amp; 3</t>
  </si>
  <si>
    <t>Scenario 2: County Share 10%</t>
  </si>
  <si>
    <t>Harnett County</t>
  </si>
  <si>
    <t>Scenario 3: County Share 42.5%</t>
  </si>
  <si>
    <t>Haywood County</t>
  </si>
  <si>
    <t>4 &amp; 5</t>
  </si>
  <si>
    <t>Scenario 4: County Share 5%</t>
  </si>
  <si>
    <t>Jones County</t>
  </si>
  <si>
    <t>Scenario 5: County Share 42.5%</t>
  </si>
  <si>
    <t>Lee County</t>
  </si>
  <si>
    <t>McDowell County</t>
  </si>
  <si>
    <t>Pamlico County</t>
  </si>
  <si>
    <t>Pasquotank County</t>
  </si>
  <si>
    <t>ARPA Funding Threshold</t>
  </si>
  <si>
    <t>Maximum State Funding</t>
  </si>
  <si>
    <t>Perquimans County</t>
  </si>
  <si>
    <t>Person County</t>
  </si>
  <si>
    <t>Pitt County</t>
  </si>
  <si>
    <t>Polk County</t>
  </si>
  <si>
    <t>Stanly County</t>
  </si>
  <si>
    <t>Swain County</t>
  </si>
  <si>
    <t>Union County</t>
  </si>
  <si>
    <t>Wake County</t>
  </si>
  <si>
    <t>Alamance County</t>
  </si>
  <si>
    <t>Alexander County</t>
  </si>
  <si>
    <t>Alleghany County</t>
  </si>
  <si>
    <t>Anson County</t>
  </si>
  <si>
    <t>Ashe County</t>
  </si>
  <si>
    <t>Bertie County</t>
  </si>
  <si>
    <t>Bladen County</t>
  </si>
  <si>
    <t>Brunswick County</t>
  </si>
  <si>
    <t>Camden County</t>
  </si>
  <si>
    <t>Carteret County</t>
  </si>
  <si>
    <t>Catawba County</t>
  </si>
  <si>
    <t>Chatham County</t>
  </si>
  <si>
    <t>Cherokee County</t>
  </si>
  <si>
    <t>Clay County</t>
  </si>
  <si>
    <t>Columbus County</t>
  </si>
  <si>
    <t>Craven County</t>
  </si>
  <si>
    <t>Cumberland County</t>
  </si>
  <si>
    <t>Currituck County</t>
  </si>
  <si>
    <t>Dare County</t>
  </si>
  <si>
    <t>Davidson County</t>
  </si>
  <si>
    <t>Davie County</t>
  </si>
  <si>
    <t>Duplin County</t>
  </si>
  <si>
    <t>Durham County</t>
  </si>
  <si>
    <t>Forsyth County</t>
  </si>
  <si>
    <t>Gaston County</t>
  </si>
  <si>
    <t>Graham County</t>
  </si>
  <si>
    <t>Greene County</t>
  </si>
  <si>
    <t>Guilford County</t>
  </si>
  <si>
    <t>Halifax County</t>
  </si>
  <si>
    <t>Henderson County</t>
  </si>
  <si>
    <t>Hertford County</t>
  </si>
  <si>
    <t>Hoke County</t>
  </si>
  <si>
    <t>Hyde County</t>
  </si>
  <si>
    <t>Iredell County</t>
  </si>
  <si>
    <t>Jackson County</t>
  </si>
  <si>
    <t>Johnston County</t>
  </si>
  <si>
    <t>Lenoir County</t>
  </si>
  <si>
    <t>Lincoln County</t>
  </si>
  <si>
    <t>Macon County</t>
  </si>
  <si>
    <t>Madison County</t>
  </si>
  <si>
    <t>Martin County</t>
  </si>
  <si>
    <t>Mecklenburg County</t>
  </si>
  <si>
    <t>Mitchell County</t>
  </si>
  <si>
    <t>Montgomery County</t>
  </si>
  <si>
    <t>Moore County</t>
  </si>
  <si>
    <t>Nash County</t>
  </si>
  <si>
    <t>New Hanover County</t>
  </si>
  <si>
    <t>Northampton County</t>
  </si>
  <si>
    <t>Onslow County</t>
  </si>
  <si>
    <t>Orange County</t>
  </si>
  <si>
    <t>Pender County</t>
  </si>
  <si>
    <t>Randolph County</t>
  </si>
  <si>
    <t>Richmond County</t>
  </si>
  <si>
    <t>Robeson County</t>
  </si>
  <si>
    <t>Rockingham County</t>
  </si>
  <si>
    <t>Rowan County</t>
  </si>
  <si>
    <t>Rutherford County</t>
  </si>
  <si>
    <t>Sampson County</t>
  </si>
  <si>
    <t>Scotland County</t>
  </si>
  <si>
    <t>Stokes County</t>
  </si>
  <si>
    <t>Surry County</t>
  </si>
  <si>
    <t>Transylvania County</t>
  </si>
  <si>
    <t>Tyrrell County</t>
  </si>
  <si>
    <t>Vance County</t>
  </si>
  <si>
    <t>Warren County</t>
  </si>
  <si>
    <t>Washington County</t>
  </si>
  <si>
    <t>Watauga County</t>
  </si>
  <si>
    <t>Wayne County</t>
  </si>
  <si>
    <t>Wilkes County</t>
  </si>
  <si>
    <t>Wilson County</t>
  </si>
  <si>
    <t>Yadkin County</t>
  </si>
  <si>
    <t>Yancey County</t>
  </si>
  <si>
    <t>yes</t>
  </si>
  <si>
    <t xml:space="preserve">SLFRF County Allocations Amounts </t>
  </si>
  <si>
    <t>Allocation</t>
  </si>
  <si>
    <t>ARPA Funding Level</t>
  </si>
  <si>
    <t>&gt;8</t>
  </si>
  <si>
    <t>4-8</t>
  </si>
  <si>
    <t>&lt;4</t>
  </si>
  <si>
    <t xml:space="preserve">Input values between 15% (based on statue (e)) to 30% (based on statue (d)) </t>
  </si>
  <si>
    <t xml:space="preserve">Input values more than 5% (based on scenarios) </t>
  </si>
  <si>
    <t>Project Cost</t>
  </si>
  <si>
    <t>Provider Match %</t>
  </si>
  <si>
    <t>County Responsibility Range Guidance</t>
  </si>
  <si>
    <t>County Responsibility %</t>
  </si>
  <si>
    <t>State Responsibility %</t>
  </si>
  <si>
    <t>Selected County</t>
  </si>
  <si>
    <t>Provider Share Translated</t>
  </si>
  <si>
    <t>Provider Share Selected</t>
  </si>
  <si>
    <t>Normal Table?</t>
  </si>
  <si>
    <t>Table</t>
  </si>
  <si>
    <t>Provider Share 30%</t>
  </si>
  <si>
    <t>Option B: Provider Share Over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</si>
</sst>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U\p\ \t\o\ &quot;$&quot;#,##0"/>
  </numFmts>
  <fonts count="24" x14ac:knownFonts="1">
    <font>
      <sz val="11"/>
      <color theme="1"/>
      <name val="Calibri"/>
      <family val="2"/>
      <scheme val="minor"/>
    </font>
    <font>
      <b/>
      <sz val="11"/>
      <color theme="1"/>
      <name val="Calibri"/>
      <family val="2"/>
      <scheme val="minor"/>
    </font>
    <font>
      <sz val="11"/>
      <color theme="1"/>
      <name val="Arial"/>
      <family val="2"/>
    </font>
    <font>
      <b/>
      <sz val="12"/>
      <color theme="0"/>
      <name val="Arial"/>
      <family val="2"/>
    </font>
    <font>
      <sz val="11"/>
      <color theme="1"/>
      <name val="Calibri"/>
      <family val="2"/>
      <scheme val="minor"/>
    </font>
    <font>
      <u/>
      <sz val="11"/>
      <color theme="10"/>
      <name val="Calibri"/>
      <family val="2"/>
      <scheme val="minor"/>
    </font>
    <font>
      <b/>
      <sz val="11"/>
      <color theme="1"/>
      <name val="Arial"/>
      <family val="2"/>
    </font>
    <font>
      <b/>
      <i/>
      <sz val="11"/>
      <color theme="1"/>
      <name val="Arial"/>
      <family val="2"/>
    </font>
    <font>
      <i/>
      <sz val="11"/>
      <color theme="1"/>
      <name val="Arial"/>
      <family val="2"/>
    </font>
    <font>
      <b/>
      <sz val="12"/>
      <name val="Arial"/>
      <family val="2"/>
    </font>
    <font>
      <u/>
      <sz val="11"/>
      <color theme="10"/>
      <name val="Arial"/>
      <family val="2"/>
    </font>
    <font>
      <b/>
      <sz val="11"/>
      <color rgb="FFFFFFFF"/>
      <name val="Arial"/>
      <family val="2"/>
    </font>
    <font>
      <sz val="10"/>
      <color theme="1"/>
      <name val="Arial"/>
      <family val="2"/>
    </font>
    <font>
      <b/>
      <sz val="15"/>
      <color theme="3"/>
      <name val="Arial"/>
      <family val="2"/>
    </font>
    <font>
      <b/>
      <sz val="11"/>
      <color theme="3"/>
      <name val="Arial"/>
      <family val="2"/>
    </font>
    <font>
      <b/>
      <sz val="8"/>
      <color theme="0"/>
      <name val="Arial"/>
      <family val="2"/>
    </font>
    <font>
      <sz val="8"/>
      <color theme="0"/>
      <name val="Arial"/>
      <family val="2"/>
    </font>
    <font>
      <sz val="12"/>
      <color rgb="FF0070C0"/>
      <name val="Arial"/>
      <family val="2"/>
    </font>
    <font>
      <sz val="12"/>
      <color theme="1"/>
      <name val="Arial"/>
      <family val="2"/>
    </font>
    <font>
      <sz val="11"/>
      <color theme="0"/>
      <name val="Calibri"/>
      <family val="2"/>
      <scheme val="minor"/>
    </font>
    <font>
      <b/>
      <sz val="12"/>
      <color theme="3"/>
      <name val="Arial"/>
      <family val="2"/>
    </font>
    <font>
      <b/>
      <sz val="12"/>
      <color rgb="FFFF0000"/>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rgb="FF3F6DAA"/>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bgColor indexed="64"/>
      </patternFill>
    </fill>
    <fill>
      <patternFill patternType="solid">
        <fgColor rgb="FFFFFFCC"/>
      </patternFill>
    </fill>
    <fill>
      <patternFill patternType="solid">
        <fgColor theme="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hair">
        <color rgb="FF3F6DAA"/>
      </left>
      <right style="hair">
        <color rgb="FF3F6DAA"/>
      </right>
      <top style="hair">
        <color rgb="FF3F6DAA"/>
      </top>
      <bottom style="hair">
        <color rgb="FF3F6DAA"/>
      </bottom>
      <diagonal/>
    </border>
    <border>
      <left style="hair">
        <color rgb="FF3F6DAA"/>
      </left>
      <right/>
      <top style="hair">
        <color rgb="FF3F6DAA"/>
      </top>
      <bottom style="hair">
        <color rgb="FF3F6DAA"/>
      </bottom>
      <diagonal/>
    </border>
    <border>
      <left/>
      <right/>
      <top style="hair">
        <color rgb="FF3F6DAA"/>
      </top>
      <bottom style="hair">
        <color rgb="FF3F6DAA"/>
      </bottom>
      <diagonal/>
    </border>
    <border>
      <left/>
      <right style="hair">
        <color rgb="FF3F6DAA"/>
      </right>
      <top style="hair">
        <color rgb="FF3F6DAA"/>
      </top>
      <bottom style="hair">
        <color rgb="FF3F6DAA"/>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44"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3" fillId="0" borderId="6" applyNumberFormat="0" applyFill="0" applyAlignment="0" applyProtection="0"/>
    <xf numFmtId="0" fontId="14" fillId="0" borderId="0" applyNumberFormat="0" applyFill="0" applyBorder="0" applyAlignment="0" applyProtection="0"/>
    <xf numFmtId="0" fontId="4" fillId="8" borderId="7" applyNumberFormat="0" applyFont="0" applyAlignment="0" applyProtection="0"/>
    <xf numFmtId="0" fontId="16" fillId="9" borderId="0" applyNumberFormat="0" applyBorder="0" applyAlignment="0" applyProtection="0"/>
    <xf numFmtId="9" fontId="4" fillId="0" borderId="0" applyFont="0" applyFill="0" applyBorder="0" applyAlignment="0" applyProtection="0"/>
  </cellStyleXfs>
  <cellXfs count="92">
    <xf numFmtId="0" fontId="0" fillId="0" borderId="0" xfId="0"/>
    <xf numFmtId="14" fontId="2"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left" indent="1"/>
    </xf>
    <xf numFmtId="0" fontId="0" fillId="0" borderId="0" xfId="0" applyAlignment="1">
      <alignment horizontal="center"/>
    </xf>
    <xf numFmtId="164" fontId="3" fillId="0" borderId="0" xfId="0" applyNumberFormat="1" applyFont="1" applyAlignment="1">
      <alignment horizontal="center" vertical="center" wrapText="1"/>
    </xf>
    <xf numFmtId="2" fontId="2" fillId="0" borderId="0" xfId="0" applyNumberFormat="1" applyFont="1" applyAlignment="1">
      <alignment horizontal="center"/>
    </xf>
    <xf numFmtId="1" fontId="2" fillId="0" borderId="0" xfId="0" quotePrefix="1" applyNumberFormat="1" applyFont="1" applyAlignment="1">
      <alignment horizontal="center" vertical="top" wrapText="1"/>
    </xf>
    <xf numFmtId="1" fontId="2" fillId="0" borderId="0" xfId="0" applyNumberFormat="1" applyFont="1" applyAlignment="1">
      <alignment horizontal="center"/>
    </xf>
    <xf numFmtId="165" fontId="2" fillId="0" borderId="0" xfId="0" applyNumberFormat="1" applyFont="1" applyAlignment="1">
      <alignment horizontal="center"/>
    </xf>
    <xf numFmtId="0" fontId="3" fillId="2" borderId="2" xfId="0"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0" fontId="2" fillId="0" borderId="2" xfId="0" applyFont="1" applyBorder="1" applyAlignment="1">
      <alignment horizontal="left" indent="1"/>
    </xf>
    <xf numFmtId="14" fontId="2" fillId="0" borderId="2" xfId="0" applyNumberFormat="1" applyFont="1" applyBorder="1" applyAlignment="1">
      <alignment horizontal="center"/>
    </xf>
    <xf numFmtId="165" fontId="2" fillId="0" borderId="2" xfId="0" applyNumberFormat="1" applyFont="1" applyBorder="1" applyAlignment="1">
      <alignment horizontal="center"/>
    </xf>
    <xf numFmtId="1" fontId="2" fillId="0" borderId="2" xfId="0" quotePrefix="1" applyNumberFormat="1" applyFont="1" applyBorder="1" applyAlignment="1">
      <alignment horizontal="center" vertical="top" wrapText="1"/>
    </xf>
    <xf numFmtId="2" fontId="2" fillId="0" borderId="2" xfId="0" applyNumberFormat="1" applyFont="1" applyBorder="1" applyAlignment="1">
      <alignment horizontal="center"/>
    </xf>
    <xf numFmtId="164" fontId="3" fillId="2" borderId="2" xfId="0" applyNumberFormat="1" applyFont="1" applyFill="1" applyBorder="1" applyAlignment="1">
      <alignment horizontal="center" vertical="center" wrapText="1"/>
    </xf>
    <xf numFmtId="0" fontId="0" fillId="0" borderId="1" xfId="0" applyBorder="1" applyAlignment="1">
      <alignment horizontal="center"/>
    </xf>
    <xf numFmtId="8" fontId="0" fillId="4" borderId="1" xfId="0" applyNumberFormat="1" applyFill="1" applyBorder="1"/>
    <xf numFmtId="0" fontId="0" fillId="0" borderId="1" xfId="0" applyBorder="1"/>
    <xf numFmtId="49" fontId="0" fillId="0" borderId="1" xfId="0" applyNumberFormat="1" applyBorder="1" applyAlignment="1">
      <alignment horizontal="center"/>
    </xf>
    <xf numFmtId="8" fontId="0" fillId="0" borderId="1" xfId="0" applyNumberFormat="1" applyBorder="1"/>
    <xf numFmtId="0" fontId="0" fillId="5" borderId="1" xfId="0" applyFill="1" applyBorder="1"/>
    <xf numFmtId="0" fontId="1" fillId="5" borderId="1" xfId="0" applyFont="1" applyFill="1" applyBorder="1" applyAlignment="1">
      <alignment horizontal="center"/>
    </xf>
    <xf numFmtId="167" fontId="2" fillId="0" borderId="2" xfId="3" quotePrefix="1" applyNumberFormat="1" applyFont="1" applyBorder="1" applyAlignment="1">
      <alignment horizontal="center" vertical="top" wrapText="1"/>
    </xf>
    <xf numFmtId="9" fontId="2" fillId="0" borderId="0" xfId="0" quotePrefix="1" applyNumberFormat="1" applyFont="1" applyAlignment="1">
      <alignment horizontal="center" vertical="top" wrapText="1"/>
    </xf>
    <xf numFmtId="9" fontId="2" fillId="3" borderId="2" xfId="0" applyNumberFormat="1" applyFont="1" applyFill="1" applyBorder="1" applyAlignment="1">
      <alignment horizontal="center"/>
    </xf>
    <xf numFmtId="10" fontId="2" fillId="3" borderId="2" xfId="0" applyNumberFormat="1" applyFont="1" applyFill="1" applyBorder="1" applyAlignment="1">
      <alignment horizontal="center"/>
    </xf>
    <xf numFmtId="9" fontId="2" fillId="0" borderId="2" xfId="0" applyNumberFormat="1" applyFont="1" applyBorder="1" applyAlignment="1">
      <alignment horizontal="center"/>
    </xf>
    <xf numFmtId="166" fontId="2" fillId="0" borderId="2" xfId="1" applyNumberFormat="1" applyFont="1" applyBorder="1" applyAlignment="1">
      <alignment horizontal="center"/>
    </xf>
    <xf numFmtId="165" fontId="3" fillId="7" borderId="0" xfId="0" applyNumberFormat="1" applyFont="1" applyFill="1" applyAlignment="1">
      <alignment horizontal="center" vertical="center" wrapText="1"/>
    </xf>
    <xf numFmtId="164" fontId="3" fillId="7" borderId="2" xfId="0" applyNumberFormat="1" applyFont="1" applyFill="1" applyBorder="1" applyAlignment="1">
      <alignment horizontal="center" vertical="center" wrapText="1"/>
    </xf>
    <xf numFmtId="2" fontId="3" fillId="7" borderId="2" xfId="0" applyNumberFormat="1" applyFont="1" applyFill="1" applyBorder="1" applyAlignment="1">
      <alignment horizontal="center" vertical="center" wrapText="1"/>
    </xf>
    <xf numFmtId="1" fontId="3" fillId="7" borderId="2" xfId="0" applyNumberFormat="1" applyFont="1" applyFill="1" applyBorder="1" applyAlignment="1">
      <alignment horizontal="center" vertical="center" wrapText="1"/>
    </xf>
    <xf numFmtId="14" fontId="2" fillId="0" borderId="2" xfId="0" quotePrefix="1" applyNumberFormat="1" applyFont="1" applyBorder="1" applyAlignment="1">
      <alignment horizontal="center"/>
    </xf>
    <xf numFmtId="1" fontId="2" fillId="0" borderId="2" xfId="0" applyNumberFormat="1" applyFont="1" applyBorder="1" applyAlignment="1">
      <alignment horizontal="center" vertical="top" wrapText="1"/>
    </xf>
    <xf numFmtId="167" fontId="2" fillId="0" borderId="2" xfId="3" applyNumberFormat="1" applyFont="1" applyBorder="1" applyAlignment="1">
      <alignment horizontal="center" vertical="top" wrapText="1"/>
    </xf>
    <xf numFmtId="167" fontId="2" fillId="0" borderId="2" xfId="3" applyNumberFormat="1" applyFont="1" applyBorder="1" applyAlignment="1">
      <alignment horizontal="left"/>
    </xf>
    <xf numFmtId="164" fontId="3" fillId="7" borderId="0" xfId="0" applyNumberFormat="1" applyFont="1" applyFill="1" applyAlignment="1">
      <alignment horizontal="center" vertical="center" wrapText="1"/>
    </xf>
    <xf numFmtId="1" fontId="8" fillId="0" borderId="0" xfId="0" quotePrefix="1" applyNumberFormat="1" applyFont="1" applyAlignment="1">
      <alignment horizontal="center" vertical="top" wrapText="1"/>
    </xf>
    <xf numFmtId="2" fontId="9" fillId="3" borderId="2" xfId="0" applyNumberFormat="1" applyFont="1" applyFill="1" applyBorder="1" applyAlignment="1">
      <alignment horizontal="center" vertical="center" wrapText="1"/>
    </xf>
    <xf numFmtId="165" fontId="2" fillId="0" borderId="2" xfId="0" applyNumberFormat="1" applyFont="1" applyBorder="1" applyAlignment="1">
      <alignment horizontal="right"/>
    </xf>
    <xf numFmtId="0" fontId="2" fillId="0" borderId="0" xfId="0" applyFont="1"/>
    <xf numFmtId="0" fontId="7" fillId="0" borderId="0" xfId="0" applyFont="1" applyAlignment="1">
      <alignment horizontal="center"/>
    </xf>
    <xf numFmtId="0" fontId="8" fillId="0" borderId="0" xfId="0" applyFont="1" applyAlignment="1">
      <alignment horizontal="center"/>
    </xf>
    <xf numFmtId="0" fontId="6" fillId="0" borderId="0" xfId="0" applyFont="1"/>
    <xf numFmtId="0" fontId="10" fillId="0" borderId="0" xfId="2" applyFont="1"/>
    <xf numFmtId="0" fontId="6" fillId="0" borderId="0" xfId="0" applyFont="1" applyAlignment="1">
      <alignment vertical="top" wrapText="1"/>
    </xf>
    <xf numFmtId="166" fontId="2" fillId="0" borderId="2" xfId="1" applyNumberFormat="1" applyFont="1" applyBorder="1"/>
    <xf numFmtId="0" fontId="2" fillId="0" borderId="2" xfId="0" applyFont="1" applyBorder="1" applyAlignment="1">
      <alignment horizontal="center"/>
    </xf>
    <xf numFmtId="0" fontId="2" fillId="0" borderId="2" xfId="0" applyFont="1" applyBorder="1"/>
    <xf numFmtId="9" fontId="2" fillId="0" borderId="0" xfId="0" applyNumberFormat="1" applyFont="1"/>
    <xf numFmtId="43" fontId="2" fillId="0" borderId="0" xfId="3" applyFont="1" applyFill="1" applyBorder="1" applyAlignment="1">
      <alignment horizontal="center"/>
    </xf>
    <xf numFmtId="2" fontId="12" fillId="3" borderId="0" xfId="0" applyNumberFormat="1" applyFont="1" applyFill="1" applyAlignment="1">
      <alignment horizontal="center" wrapText="1"/>
    </xf>
    <xf numFmtId="165" fontId="2" fillId="0" borderId="2" xfId="0" applyNumberFormat="1" applyFont="1" applyBorder="1"/>
    <xf numFmtId="166" fontId="2" fillId="0" borderId="2" xfId="0" applyNumberFormat="1" applyFont="1" applyBorder="1"/>
    <xf numFmtId="37" fontId="2" fillId="0" borderId="2" xfId="1" applyNumberFormat="1" applyFont="1" applyBorder="1" applyAlignment="1">
      <alignment horizontal="center"/>
    </xf>
    <xf numFmtId="9" fontId="2" fillId="0" borderId="2" xfId="8" applyFont="1" applyBorder="1" applyAlignment="1">
      <alignment horizontal="center"/>
    </xf>
    <xf numFmtId="9" fontId="2" fillId="0" borderId="0" xfId="8" applyFont="1" applyBorder="1" applyAlignment="1">
      <alignment horizontal="center"/>
    </xf>
    <xf numFmtId="0" fontId="13" fillId="0" borderId="6" xfId="4" applyProtection="1">
      <protection hidden="1"/>
    </xf>
    <xf numFmtId="0" fontId="13" fillId="0" borderId="6" xfId="4" applyAlignment="1" applyProtection="1">
      <alignment horizontal="center"/>
      <protection hidden="1"/>
    </xf>
    <xf numFmtId="0" fontId="0" fillId="0" borderId="0" xfId="0" applyProtection="1">
      <protection hidden="1"/>
    </xf>
    <xf numFmtId="0" fontId="0" fillId="0" borderId="0" xfId="0" applyAlignment="1" applyProtection="1">
      <alignment horizontal="center"/>
      <protection hidden="1"/>
    </xf>
    <xf numFmtId="0" fontId="3" fillId="9" borderId="0" xfId="7" applyFont="1" applyAlignment="1" applyProtection="1">
      <alignment horizontal="center"/>
      <protection hidden="1"/>
    </xf>
    <xf numFmtId="0" fontId="19" fillId="0" borderId="0" xfId="0" applyFont="1" applyAlignment="1" applyProtection="1">
      <alignment horizontal="center"/>
      <protection hidden="1"/>
    </xf>
    <xf numFmtId="0" fontId="14" fillId="0" borderId="0" xfId="5" applyAlignment="1" applyProtection="1">
      <alignment horizontal="center"/>
      <protection hidden="1"/>
    </xf>
    <xf numFmtId="165" fontId="18" fillId="10" borderId="0" xfId="0" applyNumberFormat="1" applyFont="1" applyFill="1" applyAlignment="1" applyProtection="1">
      <alignment horizontal="center"/>
      <protection hidden="1"/>
    </xf>
    <xf numFmtId="165" fontId="18" fillId="0" borderId="0" xfId="0" applyNumberFormat="1" applyFont="1" applyAlignment="1" applyProtection="1">
      <alignment horizontal="center"/>
      <protection hidden="1"/>
    </xf>
    <xf numFmtId="0" fontId="15" fillId="9" borderId="0" xfId="7" applyFont="1" applyProtection="1">
      <protection hidden="1"/>
    </xf>
    <xf numFmtId="0" fontId="16" fillId="9" borderId="0" xfId="7" applyAlignment="1" applyProtection="1">
      <alignment horizontal="center"/>
      <protection hidden="1"/>
    </xf>
    <xf numFmtId="0" fontId="16" fillId="9" borderId="0" xfId="7" applyProtection="1">
      <protection hidden="1"/>
    </xf>
    <xf numFmtId="0" fontId="17" fillId="8" borderId="7" xfId="6" applyFont="1" applyAlignment="1" applyProtection="1">
      <alignment horizontal="center"/>
      <protection locked="0"/>
    </xf>
    <xf numFmtId="0" fontId="21" fillId="0" borderId="0" xfId="5" applyFont="1" applyAlignment="1" applyProtection="1">
      <alignment horizontal="left"/>
      <protection hidden="1"/>
    </xf>
    <xf numFmtId="168" fontId="18" fillId="10" borderId="0" xfId="0" applyNumberFormat="1" applyFont="1" applyFill="1" applyAlignment="1" applyProtection="1">
      <alignment horizontal="center"/>
      <protection hidden="1"/>
    </xf>
    <xf numFmtId="0" fontId="18" fillId="10" borderId="0" xfId="0" applyFont="1" applyFill="1" applyAlignment="1" applyProtection="1">
      <alignment vertical="top" wrapText="1"/>
      <protection hidden="1"/>
    </xf>
    <xf numFmtId="0" fontId="18" fillId="10" borderId="0" xfId="0" applyFont="1" applyFill="1" applyAlignment="1" applyProtection="1">
      <alignment vertical="top"/>
      <protection hidden="1"/>
    </xf>
    <xf numFmtId="0" fontId="20" fillId="0" borderId="0" xfId="5" applyFont="1" applyAlignment="1" applyProtection="1">
      <alignment horizontal="left"/>
      <protection hidden="1"/>
    </xf>
    <xf numFmtId="0" fontId="11" fillId="2" borderId="2" xfId="0" applyFont="1" applyFill="1" applyBorder="1" applyAlignment="1">
      <alignment horizontal="center" vertical="center"/>
    </xf>
    <xf numFmtId="166" fontId="2" fillId="4" borderId="2" xfId="1" applyNumberFormat="1" applyFont="1" applyFill="1" applyBorder="1"/>
    <xf numFmtId="0" fontId="18" fillId="10" borderId="0" xfId="0" applyFont="1" applyFill="1" applyAlignment="1" applyProtection="1">
      <alignment horizontal="left" vertical="top" wrapText="1"/>
      <protection hidden="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 fillId="6" borderId="1" xfId="0" applyFont="1" applyFill="1" applyBorder="1" applyAlignment="1">
      <alignment horizontal="center" vertical="center"/>
    </xf>
    <xf numFmtId="0" fontId="2" fillId="0" borderId="0" xfId="0" applyFont="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9">
    <cellStyle name="Accent1" xfId="7" builtinId="29"/>
    <cellStyle name="Comma" xfId="3" builtinId="3"/>
    <cellStyle name="Currency" xfId="1" builtinId="4"/>
    <cellStyle name="Heading 1" xfId="4" builtinId="16"/>
    <cellStyle name="Heading 4" xfId="5" builtinId="19"/>
    <cellStyle name="Hyperlink" xfId="2" builtinId="8"/>
    <cellStyle name="Normal" xfId="0" builtinId="0"/>
    <cellStyle name="Note" xfId="6" builtinId="10"/>
    <cellStyle name="Percent" xfId="8" builtinId="5"/>
  </cellStyles>
  <dxfs count="1">
    <dxf>
      <font>
        <color theme="2"/>
      </font>
    </dxf>
  </dxfs>
  <tableStyles count="0" defaultTableStyle="TableStyleMedium2" defaultPivotStyle="PivotStyleLight16"/>
  <colors>
    <mruColors>
      <color rgb="FF3F6D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'County Calculator'!$D$16</c:f>
          <c:strCache>
            <c:ptCount val="1"/>
            <c:pt idx="0">
              <c:v>Avery County Project Funding Breakdown</c:v>
            </c:pt>
          </c:strCache>
        </c:strRef>
      </c:tx>
      <c:layout>
        <c:manualLayout>
          <c:xMode val="edge"/>
          <c:yMode val="edge"/>
          <c:x val="0.14625823066061583"/>
          <c:y val="3.531728501328589E-2"/>
        </c:manualLayout>
      </c:layout>
      <c:overlay val="0"/>
      <c:spPr>
        <a:noFill/>
        <a:ln>
          <a:noFill/>
        </a:ln>
        <a:effectLst/>
      </c:spPr>
      <c:txPr>
        <a:bodyPr rot="0" spcFirstLastPara="1" vertOverflow="ellipsis" vert="horz" wrap="square" anchor="ctr" anchorCtr="1"/>
        <a:lstStyle/>
        <a:p>
          <a:pPr algn="ctr">
            <a:defRPr sz="20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990404383932241"/>
          <c:y val="0.30700559536167304"/>
          <c:w val="0.38800044577151138"/>
          <c:h val="0.63907790465098613"/>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536D-41D0-9610-872C723707E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36D-41D0-9610-872C723707E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36D-41D0-9610-872C723707E8}"/>
              </c:ext>
            </c:extLst>
          </c:dPt>
          <c:dLbls>
            <c:dLbl>
              <c:idx val="0"/>
              <c:layout>
                <c:manualLayout>
                  <c:x val="0.14772727272727273"/>
                  <c:y val="-4.43698790908317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36D-41D0-9610-872C723707E8}"/>
                </c:ext>
              </c:extLst>
            </c:dLbl>
            <c:dLbl>
              <c:idx val="1"/>
              <c:layout>
                <c:manualLayout>
                  <c:x val="-0.13181184854105579"/>
                  <c:y val="8.513012883085693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6D-41D0-9610-872C723707E8}"/>
                </c:ext>
              </c:extLst>
            </c:dLbl>
            <c:dLbl>
              <c:idx val="2"/>
              <c:layout>
                <c:manualLayout>
                  <c:x val="-0.17500000000000004"/>
                  <c:y val="-9.507831233749657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6D-41D0-9610-872C723707E8}"/>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'County Calculator'!$C$23:$E$23</c:f>
              <c:strCache>
                <c:ptCount val="3"/>
                <c:pt idx="0">
                  <c:v>County Share</c:v>
                </c:pt>
                <c:pt idx="1">
                  <c:v>State Share</c:v>
                </c:pt>
                <c:pt idx="2">
                  <c:v>Provider Share</c:v>
                </c:pt>
              </c:strCache>
            </c:strRef>
          </c:cat>
          <c:val>
            <c:numRef>
              <c:f>'County Calculator'!$C$24:$E$24</c:f>
              <c:numCache>
                <c:formatCode>"$"#,##0</c:formatCode>
                <c:ptCount val="3"/>
                <c:pt idx="0">
                  <c:v>3000000</c:v>
                </c:pt>
                <c:pt idx="1">
                  <c:v>8000000</c:v>
                </c:pt>
                <c:pt idx="2" formatCode="\U\p\ \t\o\ &quot;$&quot;#,##0">
                  <c:v>1941176.4705882333</c:v>
                </c:pt>
              </c:numCache>
            </c:numRef>
          </c:val>
          <c:extLst>
            <c:ext xmlns:c16="http://schemas.microsoft.com/office/drawing/2014/chart" uri="{C3380CC4-5D6E-409C-BE32-E72D297353CC}">
              <c16:uniqueId val="{00000000-536D-41D0-9610-872C723707E8}"/>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1716741</xdr:colOff>
      <xdr:row>25</xdr:row>
      <xdr:rowOff>22786</xdr:rowOff>
    </xdr:from>
    <xdr:to>
      <xdr:col>4</xdr:col>
      <xdr:colOff>996950</xdr:colOff>
      <xdr:row>46</xdr:row>
      <xdr:rowOff>107950</xdr:rowOff>
    </xdr:to>
    <xdr:graphicFrame macro="">
      <xdr:nvGraphicFramePr>
        <xdr:cNvPr id="2" name="Chart 1">
          <a:extLst>
            <a:ext uri="{FF2B5EF4-FFF2-40B4-BE49-F238E27FC236}">
              <a16:creationId xmlns:a16="http://schemas.microsoft.com/office/drawing/2014/main" id="{5E079330-58D0-F752-39C3-F44C27017C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228600</xdr:rowOff>
    </xdr:from>
    <xdr:to>
      <xdr:col>1</xdr:col>
      <xdr:colOff>1715203</xdr:colOff>
      <xdr:row>0</xdr:row>
      <xdr:rowOff>744475</xdr:rowOff>
    </xdr:to>
    <xdr:pic>
      <xdr:nvPicPr>
        <xdr:cNvPr id="2" name="Picture 1">
          <a:extLst>
            <a:ext uri="{FF2B5EF4-FFF2-40B4-BE49-F238E27FC236}">
              <a16:creationId xmlns:a16="http://schemas.microsoft.com/office/drawing/2014/main" id="{0311DCAB-1AF8-4CC1-A330-9B2A142AD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28600"/>
          <a:ext cx="3253873" cy="515875"/>
        </a:xfrm>
        <a:prstGeom prst="rect">
          <a:avLst/>
        </a:prstGeom>
      </xdr:spPr>
    </xdr:pic>
    <xdr:clientData/>
  </xdr:twoCellAnchor>
  <xdr:twoCellAnchor editAs="oneCell">
    <xdr:from>
      <xdr:col>1</xdr:col>
      <xdr:colOff>1082040</xdr:colOff>
      <xdr:row>0</xdr:row>
      <xdr:rowOff>281940</xdr:rowOff>
    </xdr:from>
    <xdr:to>
      <xdr:col>3</xdr:col>
      <xdr:colOff>678699</xdr:colOff>
      <xdr:row>0</xdr:row>
      <xdr:rowOff>716338</xdr:rowOff>
    </xdr:to>
    <xdr:pic>
      <xdr:nvPicPr>
        <xdr:cNvPr id="3" name="Picture 3">
          <a:extLst>
            <a:ext uri="{FF2B5EF4-FFF2-40B4-BE49-F238E27FC236}">
              <a16:creationId xmlns:a16="http://schemas.microsoft.com/office/drawing/2014/main" id="{E56A6B91-F5E4-4617-82F5-0E8BEB80EA69}"/>
            </a:ext>
          </a:extLst>
        </xdr:cNvPr>
        <xdr:cNvPicPr>
          <a:picLocks noChangeAspect="1"/>
        </xdr:cNvPicPr>
      </xdr:nvPicPr>
      <xdr:blipFill>
        <a:blip xmlns:r="http://schemas.openxmlformats.org/officeDocument/2006/relationships" r:embed="rId2"/>
        <a:stretch>
          <a:fillRect/>
        </a:stretch>
      </xdr:blipFill>
      <xdr:spPr>
        <a:xfrm>
          <a:off x="3666490" y="281940"/>
          <a:ext cx="3204336" cy="434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228600</xdr:rowOff>
    </xdr:from>
    <xdr:to>
      <xdr:col>1</xdr:col>
      <xdr:colOff>821823</xdr:colOff>
      <xdr:row>0</xdr:row>
      <xdr:rowOff>744475</xdr:rowOff>
    </xdr:to>
    <xdr:pic>
      <xdr:nvPicPr>
        <xdr:cNvPr id="2" name="Picture 1">
          <a:extLst>
            <a:ext uri="{FF2B5EF4-FFF2-40B4-BE49-F238E27FC236}">
              <a16:creationId xmlns:a16="http://schemas.microsoft.com/office/drawing/2014/main" id="{F121C2D7-D47C-4972-9008-822CFFD4F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28600"/>
          <a:ext cx="3253873" cy="515875"/>
        </a:xfrm>
        <a:prstGeom prst="rect">
          <a:avLst/>
        </a:prstGeom>
      </xdr:spPr>
    </xdr:pic>
    <xdr:clientData/>
  </xdr:twoCellAnchor>
  <xdr:twoCellAnchor editAs="oneCell">
    <xdr:from>
      <xdr:col>1</xdr:col>
      <xdr:colOff>1082040</xdr:colOff>
      <xdr:row>0</xdr:row>
      <xdr:rowOff>281940</xdr:rowOff>
    </xdr:from>
    <xdr:to>
      <xdr:col>3</xdr:col>
      <xdr:colOff>704976</xdr:colOff>
      <xdr:row>0</xdr:row>
      <xdr:rowOff>716338</xdr:rowOff>
    </xdr:to>
    <xdr:pic>
      <xdr:nvPicPr>
        <xdr:cNvPr id="3" name="Picture 3">
          <a:extLst>
            <a:ext uri="{FF2B5EF4-FFF2-40B4-BE49-F238E27FC236}">
              <a16:creationId xmlns:a16="http://schemas.microsoft.com/office/drawing/2014/main" id="{E2319029-C677-40EC-8834-0CEA1B8EF67B}"/>
            </a:ext>
          </a:extLst>
        </xdr:cNvPr>
        <xdr:cNvPicPr>
          <a:picLocks noChangeAspect="1"/>
        </xdr:cNvPicPr>
      </xdr:nvPicPr>
      <xdr:blipFill>
        <a:blip xmlns:r="http://schemas.openxmlformats.org/officeDocument/2006/relationships" r:embed="rId2"/>
        <a:stretch>
          <a:fillRect/>
        </a:stretch>
      </xdr:blipFill>
      <xdr:spPr>
        <a:xfrm>
          <a:off x="3666490" y="281940"/>
          <a:ext cx="3195100" cy="43439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cbroadband.gov/documents/american-rescue-plan/completing-access-broadband-cab-program-guidance/download?attachment"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ncbroadband.gov/documents/american-rescue-plan/completing-access-broadband-cab-program-guidance/download?attachmen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9308-C505-4AC9-B7FD-6305183078CD}">
  <sheetPr codeName="Sheet6">
    <pageSetUpPr fitToPage="1"/>
  </sheetPr>
  <dimension ref="A1:J49"/>
  <sheetViews>
    <sheetView showGridLines="0" tabSelected="1" zoomScaleNormal="100" workbookViewId="0">
      <selection activeCell="B16" sqref="B16"/>
    </sheetView>
  </sheetViews>
  <sheetFormatPr defaultColWidth="0" defaultRowHeight="15" zeroHeight="1" x14ac:dyDescent="0.25"/>
  <cols>
    <col min="1" max="1" width="2.5703125" style="63" customWidth="1"/>
    <col min="2" max="2" width="34.85546875" style="64" customWidth="1"/>
    <col min="3" max="3" width="36.42578125" style="64" customWidth="1"/>
    <col min="4" max="5" width="33.85546875" style="64" customWidth="1"/>
    <col min="6" max="7" width="8.85546875" style="63" customWidth="1"/>
    <col min="8" max="8" width="2.5703125" style="63" customWidth="1"/>
    <col min="9" max="10" width="0" style="63" hidden="1" customWidth="1"/>
    <col min="11" max="16384" width="8.85546875" style="63" hidden="1"/>
  </cols>
  <sheetData>
    <row r="1" spans="1:8" ht="20.25" thickBot="1" x14ac:dyDescent="0.35">
      <c r="A1" s="61" t="s">
        <v>0</v>
      </c>
      <c r="B1" s="62"/>
      <c r="C1" s="62"/>
      <c r="D1" s="62"/>
      <c r="E1" s="62"/>
      <c r="F1" s="61"/>
      <c r="G1" s="61"/>
    </row>
    <row r="2" spans="1:8" ht="15.75" thickTop="1" x14ac:dyDescent="0.25"/>
    <row r="3" spans="1:8" ht="15.75" x14ac:dyDescent="0.25">
      <c r="B3" s="74" t="s">
        <v>1</v>
      </c>
      <c r="F3" s="64"/>
      <c r="G3" s="64"/>
      <c r="H3" s="64"/>
    </row>
    <row r="4" spans="1:8" ht="18.95" customHeight="1" x14ac:dyDescent="0.25">
      <c r="B4" s="81" t="s">
        <v>2</v>
      </c>
      <c r="C4" s="81"/>
      <c r="D4" s="81"/>
      <c r="E4" s="81"/>
      <c r="F4" s="81"/>
      <c r="G4" s="64"/>
      <c r="H4" s="64"/>
    </row>
    <row r="5" spans="1:8" ht="18.95" customHeight="1" x14ac:dyDescent="0.25">
      <c r="B5" s="81"/>
      <c r="C5" s="81"/>
      <c r="D5" s="81"/>
      <c r="E5" s="81"/>
      <c r="F5" s="81"/>
      <c r="G5" s="64"/>
      <c r="H5" s="64"/>
    </row>
    <row r="6" spans="1:8" ht="18.95" customHeight="1" x14ac:dyDescent="0.25">
      <c r="B6" s="81"/>
      <c r="C6" s="81"/>
      <c r="D6" s="81"/>
      <c r="E6" s="81"/>
      <c r="F6" s="81"/>
      <c r="G6" s="64"/>
      <c r="H6" s="64"/>
    </row>
    <row r="7" spans="1:8" ht="18.95" customHeight="1" x14ac:dyDescent="0.25">
      <c r="B7" s="81"/>
      <c r="C7" s="81"/>
      <c r="D7" s="81"/>
      <c r="E7" s="81"/>
      <c r="F7" s="81"/>
      <c r="G7" s="64"/>
      <c r="H7" s="64"/>
    </row>
    <row r="8" spans="1:8" ht="9.6" customHeight="1" x14ac:dyDescent="0.25">
      <c r="B8" s="63"/>
      <c r="C8" s="63"/>
      <c r="D8" s="63"/>
      <c r="E8" s="63"/>
    </row>
    <row r="9" spans="1:8" ht="18.95" customHeight="1" x14ac:dyDescent="0.25">
      <c r="B9" s="78" t="s">
        <v>3</v>
      </c>
      <c r="C9" s="63"/>
      <c r="D9" s="63"/>
      <c r="E9" s="63"/>
      <c r="G9" s="64"/>
      <c r="H9" s="64"/>
    </row>
    <row r="10" spans="1:8" ht="18.95" customHeight="1" x14ac:dyDescent="0.25">
      <c r="B10" s="77" t="s">
        <v>4</v>
      </c>
      <c r="C10" s="76"/>
      <c r="D10" s="76"/>
      <c r="E10" s="76"/>
      <c r="F10" s="76"/>
      <c r="G10" s="64"/>
      <c r="H10" s="64"/>
    </row>
    <row r="11" spans="1:8" ht="18.95" customHeight="1" x14ac:dyDescent="0.25">
      <c r="B11" s="77" t="s">
        <v>5</v>
      </c>
      <c r="C11" s="76"/>
      <c r="D11" s="76"/>
      <c r="E11" s="76"/>
      <c r="F11" s="76"/>
      <c r="G11" s="64"/>
      <c r="H11" s="64"/>
    </row>
    <row r="12" spans="1:8" ht="18.95" customHeight="1" x14ac:dyDescent="0.25">
      <c r="B12" s="77" t="s">
        <v>6</v>
      </c>
      <c r="C12" s="76"/>
      <c r="D12" s="76"/>
      <c r="E12" s="76"/>
      <c r="F12" s="76"/>
      <c r="G12" s="64"/>
      <c r="H12" s="64"/>
    </row>
    <row r="13" spans="1:8" ht="18.95" customHeight="1" x14ac:dyDescent="0.25">
      <c r="B13" s="77" t="s">
        <v>7</v>
      </c>
      <c r="C13" s="76"/>
      <c r="D13" s="76"/>
      <c r="E13" s="76"/>
      <c r="F13" s="76"/>
      <c r="G13" s="64"/>
      <c r="H13" s="64"/>
    </row>
    <row r="14" spans="1:8" ht="14.45" customHeight="1" x14ac:dyDescent="0.25">
      <c r="G14" s="64"/>
      <c r="H14" s="64"/>
    </row>
    <row r="15" spans="1:8" ht="14.45" customHeight="1" x14ac:dyDescent="0.25">
      <c r="B15" s="65" t="s">
        <v>8</v>
      </c>
      <c r="C15" s="65" t="s">
        <v>9</v>
      </c>
      <c r="G15" s="64"/>
      <c r="H15" s="64"/>
    </row>
    <row r="16" spans="1:8" ht="15.75" x14ac:dyDescent="0.25">
      <c r="B16" s="73" t="s">
        <v>10</v>
      </c>
      <c r="C16" s="73" t="s">
        <v>11</v>
      </c>
      <c r="D16" s="66" t="str">
        <f>B16&amp;" Project Funding Breakdown"</f>
        <v>Avery County Project Funding Breakdown</v>
      </c>
    </row>
    <row r="17" spans="2:5" x14ac:dyDescent="0.25">
      <c r="B17" s="63"/>
    </row>
    <row r="18" spans="2:5" x14ac:dyDescent="0.25">
      <c r="B18" s="67" t="s">
        <v>12</v>
      </c>
    </row>
    <row r="19" spans="2:5" ht="15.75" x14ac:dyDescent="0.25">
      <c r="B19" s="65" t="s">
        <v>13</v>
      </c>
      <c r="C19" s="65" t="s">
        <v>14</v>
      </c>
      <c r="D19" s="65" t="s">
        <v>15</v>
      </c>
    </row>
    <row r="20" spans="2:5" ht="15.75" x14ac:dyDescent="0.25">
      <c r="B20" s="68" t="str">
        <f>IF(VLOOKUP($B$16,'County Commitment Forms-Max-Min'!$A$3:$X$103,2,FALSE)="yes","Received", "Not Received")</f>
        <v>Received</v>
      </c>
      <c r="C20" s="68">
        <f>VLOOKUP($B$16,'County Commitment Forms-Max-Min'!$A$3:$X$103,3,FALSE)</f>
        <v>3410241</v>
      </c>
      <c r="D20" s="68">
        <f>VLOOKUP($B$16,'County Commitment Forms-Max-Min'!$A$3:$X$103,4,FALSE)</f>
        <v>3000000</v>
      </c>
    </row>
    <row r="21" spans="2:5" ht="15.75" x14ac:dyDescent="0.25">
      <c r="B21" s="69"/>
      <c r="C21" s="69"/>
      <c r="D21" s="69"/>
    </row>
    <row r="22" spans="2:5" x14ac:dyDescent="0.25">
      <c r="B22" s="67" t="s">
        <v>16</v>
      </c>
    </row>
    <row r="23" spans="2:5" ht="15.75" x14ac:dyDescent="0.25">
      <c r="B23" s="65" t="s">
        <v>17</v>
      </c>
      <c r="C23" s="65" t="s">
        <v>18</v>
      </c>
      <c r="D23" s="65" t="s">
        <v>19</v>
      </c>
      <c r="E23" s="65" t="s">
        <v>9</v>
      </c>
    </row>
    <row r="24" spans="2:5" ht="15.75" x14ac:dyDescent="0.25">
      <c r="B24" s="68">
        <f>IF('Logic Sheet'!G2=1,VLOOKUP($B$16,'County Commitment Forms-Max-Min'!$A$3:$X$103,8,FALSE),"")</f>
        <v>12941176.470588233</v>
      </c>
      <c r="C24" s="68">
        <f>IF('Logic Sheet'!G2=1,VLOOKUP($B$16,'County Commitment Forms-Max-Min'!$A$3:$X$103,10,FALSE),VLOOKUP($B$16,'County Commitment Forms-Max-Min'!$A$3:$X$103,22,FALSE))</f>
        <v>3000000</v>
      </c>
      <c r="D24" s="68">
        <f>IF('Logic Sheet'!G2=1,VLOOKUP($B$16,'County Commitment Forms-Max-Min'!$A$3:$X$103,11,FALSE),VLOOKUP($B$16,'County Commitment Forms-Max-Min'!$A$3:$X$103,23,FALSE))</f>
        <v>8000000</v>
      </c>
      <c r="E24" s="75">
        <f>IF('Logic Sheet'!G2=1,VLOOKUP($B$16,'County Commitment Forms-Max-Min'!$A$3:$X$103,9,FALSE),VLOOKUP($B$16,'County Commitment Forms-Max-Min'!$A$3:$X$103,21,FALSE))</f>
        <v>1941176.4705882333</v>
      </c>
    </row>
    <row r="25" spans="2:5" x14ac:dyDescent="0.25"/>
    <row r="26" spans="2:5" x14ac:dyDescent="0.25"/>
    <row r="27" spans="2:5" x14ac:dyDescent="0.25"/>
    <row r="28" spans="2:5" x14ac:dyDescent="0.25"/>
    <row r="29" spans="2:5" x14ac:dyDescent="0.25"/>
    <row r="30" spans="2:5" x14ac:dyDescent="0.25"/>
    <row r="31" spans="2:5" x14ac:dyDescent="0.25"/>
    <row r="32" spans="2: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1:5" s="72" customFormat="1" ht="11.25" x14ac:dyDescent="0.2">
      <c r="A49" s="70" t="s">
        <v>20</v>
      </c>
      <c r="B49" s="71"/>
      <c r="C49" s="71"/>
      <c r="D49" s="71"/>
      <c r="E49" s="71"/>
    </row>
  </sheetData>
  <sheetProtection algorithmName="SHA-512" hashValue="kxPMbBVEKbAtyFHULAhAdeTOtt8EYmgyGYW7L5uAKTnLSAfA7L9u8hyiy6eFyBuvGkZ70Qy2xU4D25KSxOm0jg==" saltValue="cPDpjIP/7ZwcpHknO4ZKxg==" spinCount="100000" sheet="1" objects="1" scenarios="1" formatColumns="0" formatRows="0" selectLockedCells="1"/>
  <mergeCells count="1">
    <mergeCell ref="B4:F7"/>
  </mergeCells>
  <pageMargins left="0.7" right="0.7" top="0.75" bottom="0.75" header="0.3" footer="0.3"/>
  <pageSetup scale="5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E911112-504B-441A-80BC-7D954CA845DB}">
            <xm:f>'Logic Sheet'!$G$2=0</xm:f>
            <x14:dxf>
              <font>
                <color theme="2"/>
              </font>
            </x14:dxf>
          </x14:cfRule>
          <xm:sqref>E24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CC1FBBF-22E2-4F48-9442-F6C790DCEB27}">
          <x14:formula1>
            <xm:f>'County Contribution Actual'!$B$4:$B$40</xm:f>
          </x14:formula1>
          <xm:sqref>B16</xm:sqref>
        </x14:dataValidation>
        <x14:dataValidation type="list" allowBlank="1" showInputMessage="1" showErrorMessage="1" xr:uid="{9CA987AD-2EE3-45F8-8FD3-2AFBDFEF67F5}">
          <x14:formula1>
            <xm:f>'Logic Sheet'!$E$2:$E$3</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C66-C2BF-414A-BBB7-D59E1638FD79}">
  <sheetPr codeName="Sheet2"/>
  <dimension ref="A1:DT105"/>
  <sheetViews>
    <sheetView showGridLines="0" zoomScale="70" zoomScaleNormal="70" workbookViewId="0">
      <pane xSplit="1" ySplit="3" topLeftCell="B4" activePane="bottomRight" state="frozen"/>
      <selection pane="topRight" activeCell="K22" sqref="K22"/>
      <selection pane="bottomLeft" activeCell="K22" sqref="K22"/>
      <selection pane="bottomRight" activeCell="D13" sqref="D13"/>
    </sheetView>
  </sheetViews>
  <sheetFormatPr defaultColWidth="0" defaultRowHeight="14.25" zeroHeight="1" x14ac:dyDescent="0.2"/>
  <cols>
    <col min="1" max="1" width="23.85546875" style="4" bestFit="1" customWidth="1"/>
    <col min="2" max="2" width="29.42578125" style="3" bestFit="1" customWidth="1"/>
    <col min="3" max="3" width="22.140625" style="3" bestFit="1" customWidth="1"/>
    <col min="4" max="4" width="31.5703125" style="10" bestFit="1" customWidth="1"/>
    <col min="5" max="5" width="18.5703125" style="9" bestFit="1" customWidth="1"/>
    <col min="6" max="6" width="2.85546875" style="44" customWidth="1"/>
    <col min="7" max="7" width="23.5703125" style="10" customWidth="1"/>
    <col min="8" max="8" width="13.5703125" style="10" customWidth="1"/>
    <col min="9" max="9" width="13.5703125" style="44" customWidth="1"/>
    <col min="10" max="10" width="19.140625" style="44" bestFit="1" customWidth="1"/>
    <col min="11" max="17" width="13.5703125" style="44" customWidth="1"/>
    <col min="18" max="18" width="27.140625" style="44" bestFit="1" customWidth="1"/>
    <col min="19" max="19" width="5.42578125" style="44" customWidth="1"/>
    <col min="20" max="20" width="40.140625" style="10" bestFit="1" customWidth="1"/>
    <col min="21" max="23" width="18.85546875" style="44" bestFit="1" customWidth="1"/>
    <col min="24" max="24" width="35.5703125" style="44" bestFit="1" customWidth="1"/>
    <col min="25" max="25" width="18.85546875" style="44" customWidth="1"/>
    <col min="26" max="26" width="30" style="44" bestFit="1" customWidth="1"/>
    <col min="27" max="27" width="15" style="44" bestFit="1" customWidth="1"/>
    <col min="28" max="28" width="14.42578125" style="44" bestFit="1" customWidth="1"/>
    <col min="29" max="29" width="13.140625" style="44" bestFit="1" customWidth="1"/>
    <col min="30" max="30" width="44.85546875" style="44" bestFit="1" customWidth="1"/>
    <col min="31" max="31" width="38.85546875" style="44" bestFit="1" customWidth="1"/>
    <col min="32" max="32" width="25.85546875" style="44" bestFit="1" customWidth="1"/>
    <col min="33" max="33" width="2.5703125" style="44" customWidth="1"/>
    <col min="34" max="35" width="15.140625" style="44" hidden="1" customWidth="1"/>
    <col min="36" max="37" width="14.5703125" style="44" hidden="1" customWidth="1"/>
    <col min="38" max="38" width="14.42578125" style="44" hidden="1" customWidth="1"/>
    <col min="39" max="39" width="15" style="44" hidden="1" customWidth="1"/>
    <col min="40" max="40" width="15.42578125" style="44" hidden="1" customWidth="1"/>
    <col min="41" max="41" width="16" style="44" hidden="1" customWidth="1"/>
    <col min="42" max="42" width="10.5703125" style="44" hidden="1" customWidth="1"/>
    <col min="43" max="43" width="11.140625" style="44" hidden="1" customWidth="1"/>
    <col min="44" max="45" width="16.42578125" style="44" hidden="1" customWidth="1"/>
    <col min="46" max="46" width="13.5703125" style="44" hidden="1" customWidth="1"/>
    <col min="47" max="47" width="18.42578125" style="44" hidden="1" customWidth="1"/>
    <col min="48" max="48" width="15.42578125" style="44" hidden="1" customWidth="1"/>
    <col min="49" max="49" width="11.5703125" style="44" hidden="1" customWidth="1"/>
    <col min="50" max="50" width="15.5703125" style="44" hidden="1" customWidth="1"/>
    <col min="51" max="51" width="12.42578125" style="44" hidden="1" customWidth="1"/>
    <col min="52" max="52" width="13.42578125" style="44" hidden="1" customWidth="1"/>
    <col min="53" max="53" width="14.42578125" style="44" hidden="1" customWidth="1"/>
    <col min="54" max="54" width="17.5703125" style="44" hidden="1" customWidth="1"/>
    <col min="55" max="55" width="14" style="44" hidden="1" customWidth="1"/>
    <col min="56" max="56" width="14.5703125" style="44" hidden="1" customWidth="1"/>
    <col min="57" max="57" width="13.5703125" style="44" hidden="1" customWidth="1"/>
    <col min="58" max="58" width="12.42578125" style="44" hidden="1" customWidth="1"/>
    <col min="59" max="59" width="14.42578125" style="44" hidden="1" customWidth="1"/>
    <col min="60" max="60" width="15.5703125" style="44" hidden="1" customWidth="1"/>
    <col min="61" max="61" width="14.140625" style="44" hidden="1" customWidth="1"/>
    <col min="62" max="62" width="14.85546875" style="44" hidden="1" customWidth="1"/>
    <col min="63" max="63" width="13.5703125" style="44" hidden="1" customWidth="1"/>
    <col min="64" max="64" width="14.140625" style="44" hidden="1" customWidth="1"/>
    <col min="65" max="65" width="15.5703125" style="44" hidden="1" customWidth="1"/>
    <col min="66" max="66" width="17.42578125" style="44" hidden="1" customWidth="1"/>
    <col min="67" max="67" width="15" style="44" hidden="1" customWidth="1"/>
    <col min="68" max="69" width="11.85546875" style="44" hidden="1" customWidth="1"/>
    <col min="70" max="70" width="13.42578125" style="44" hidden="1" customWidth="1"/>
    <col min="71" max="71" width="14.42578125" style="44" hidden="1" customWidth="1"/>
    <col min="72" max="72" width="15.42578125" style="44" hidden="1" customWidth="1"/>
    <col min="73" max="73" width="12.42578125" style="44" hidden="1" customWidth="1"/>
    <col min="74" max="74" width="10.5703125" style="44" hidden="1" customWidth="1"/>
    <col min="75" max="75" width="13" style="44" hidden="1" customWidth="1"/>
    <col min="76" max="77" width="13.5703125" style="44" hidden="1" customWidth="1"/>
    <col min="78" max="78" width="15.140625" style="44" hidden="1" customWidth="1"/>
    <col min="79" max="79" width="13.42578125" style="44" hidden="1" customWidth="1"/>
    <col min="80" max="80" width="16.42578125" style="44" hidden="1" customWidth="1"/>
    <col min="81" max="81" width="19.140625" style="44" hidden="1" customWidth="1"/>
    <col min="82" max="82" width="14.85546875" style="44" hidden="1" customWidth="1"/>
    <col min="83" max="83" width="19" style="44" hidden="1" customWidth="1"/>
    <col min="84" max="84" width="13.42578125" style="44" hidden="1" customWidth="1"/>
    <col min="85" max="85" width="11.5703125" style="44" hidden="1" customWidth="1"/>
    <col min="86" max="87" width="19.42578125" style="44" hidden="1" customWidth="1"/>
    <col min="88" max="88" width="14.140625" style="44" hidden="1" customWidth="1"/>
    <col min="89" max="89" width="13.85546875" style="44" hidden="1" customWidth="1"/>
    <col min="90" max="90" width="14.42578125" style="44" hidden="1" customWidth="1"/>
    <col min="91" max="91" width="17.5703125" style="44" hidden="1" customWidth="1"/>
    <col min="92" max="92" width="13.85546875" style="44" hidden="1" customWidth="1"/>
    <col min="93" max="93" width="18" style="44" hidden="1" customWidth="1"/>
    <col min="94" max="94" width="13.5703125" style="44" hidden="1" customWidth="1"/>
    <col min="95" max="95" width="10.5703125" style="44" hidden="1" customWidth="1"/>
    <col min="96" max="96" width="11.42578125" style="44" hidden="1" customWidth="1"/>
    <col min="97" max="97" width="15.5703125" style="44" hidden="1" customWidth="1"/>
    <col min="98" max="98" width="16.42578125" style="44" hidden="1" customWidth="1"/>
    <col min="99" max="99" width="15.140625" style="44" hidden="1" customWidth="1"/>
    <col min="100" max="100" width="18.42578125" style="44" hidden="1" customWidth="1"/>
    <col min="101" max="101" width="13.42578125" style="44" hidden="1" customWidth="1"/>
    <col min="102" max="102" width="17.42578125" style="44" hidden="1" customWidth="1"/>
    <col min="103" max="103" width="15.42578125" style="44" hidden="1" customWidth="1"/>
    <col min="104" max="104" width="15" style="44" hidden="1" customWidth="1"/>
    <col min="105" max="105" width="12.85546875" style="44" hidden="1" customWidth="1"/>
    <col min="106" max="106" width="13.42578125" style="44" hidden="1" customWidth="1"/>
    <col min="107" max="107" width="12" style="44" hidden="1" customWidth="1"/>
    <col min="108" max="108" width="12.5703125" style="44" hidden="1" customWidth="1"/>
    <col min="109" max="109" width="18.42578125" style="44" hidden="1" customWidth="1"/>
    <col min="110" max="110" width="13.42578125" style="44" hidden="1" customWidth="1"/>
    <col min="111" max="112" width="12.85546875" style="44" hidden="1" customWidth="1"/>
    <col min="113" max="113" width="12.42578125" style="44" hidden="1" customWidth="1"/>
    <col min="114" max="114" width="14.140625" style="44" hidden="1" customWidth="1"/>
    <col min="115" max="115" width="18.42578125" style="44" hidden="1" customWidth="1"/>
    <col min="116" max="116" width="15.42578125" style="44" hidden="1" customWidth="1"/>
    <col min="117" max="119" width="13.5703125" style="44" hidden="1" customWidth="1"/>
    <col min="120" max="120" width="13.42578125" style="44" hidden="1" customWidth="1"/>
    <col min="121" max="121" width="13.5703125" style="44" hidden="1" customWidth="1"/>
    <col min="122" max="122" width="12" style="44" hidden="1" customWidth="1"/>
    <col min="123" max="123" width="13.5703125" style="44" hidden="1" customWidth="1"/>
    <col min="124" max="124" width="12" style="44" hidden="1" customWidth="1"/>
    <col min="125" max="16384" width="8.85546875" style="44" hidden="1"/>
  </cols>
  <sheetData>
    <row r="1" spans="1:42" ht="75.75" customHeight="1" x14ac:dyDescent="0.2">
      <c r="A1" s="44"/>
      <c r="B1" s="44"/>
      <c r="C1" s="44"/>
      <c r="D1" s="44"/>
      <c r="E1" s="27"/>
      <c r="G1" s="45" t="s">
        <v>21</v>
      </c>
      <c r="H1" s="45"/>
      <c r="T1" s="45" t="s">
        <v>21</v>
      </c>
    </row>
    <row r="2" spans="1:42" ht="15" x14ac:dyDescent="0.25">
      <c r="A2" s="3"/>
      <c r="D2" s="46" t="s">
        <v>22</v>
      </c>
      <c r="E2" s="41" t="s">
        <v>23</v>
      </c>
      <c r="G2" s="41" t="s">
        <v>23</v>
      </c>
      <c r="H2" s="41" t="s">
        <v>23</v>
      </c>
      <c r="I2" s="41" t="s">
        <v>23</v>
      </c>
      <c r="J2" s="46" t="s">
        <v>22</v>
      </c>
      <c r="K2" s="41" t="s">
        <v>23</v>
      </c>
      <c r="L2" s="41" t="s">
        <v>23</v>
      </c>
      <c r="M2" s="41" t="s">
        <v>23</v>
      </c>
      <c r="N2" s="41" t="s">
        <v>23</v>
      </c>
      <c r="O2" s="41" t="s">
        <v>24</v>
      </c>
      <c r="P2" s="41" t="s">
        <v>24</v>
      </c>
      <c r="Q2" s="41" t="s">
        <v>24</v>
      </c>
      <c r="R2" s="41"/>
      <c r="T2" s="41" t="s">
        <v>23</v>
      </c>
      <c r="U2" s="41" t="s">
        <v>23</v>
      </c>
      <c r="V2" s="46" t="s">
        <v>22</v>
      </c>
      <c r="W2" s="41" t="s">
        <v>23</v>
      </c>
      <c r="X2" s="41" t="s">
        <v>23</v>
      </c>
      <c r="Z2" s="47" t="s">
        <v>25</v>
      </c>
      <c r="AB2" s="48" t="s">
        <v>26</v>
      </c>
    </row>
    <row r="3" spans="1:42" s="49" customFormat="1" ht="45" customHeight="1" x14ac:dyDescent="0.2">
      <c r="A3" s="13" t="s">
        <v>27</v>
      </c>
      <c r="B3" s="11" t="s">
        <v>28</v>
      </c>
      <c r="C3" s="11" t="s">
        <v>29</v>
      </c>
      <c r="D3" s="12" t="s">
        <v>30</v>
      </c>
      <c r="E3" s="35" t="s">
        <v>31</v>
      </c>
      <c r="G3" s="32" t="s">
        <v>31</v>
      </c>
      <c r="H3" s="32" t="s">
        <v>32</v>
      </c>
      <c r="I3" s="33" t="s">
        <v>9</v>
      </c>
      <c r="J3" s="18" t="s">
        <v>33</v>
      </c>
      <c r="K3" s="33" t="s">
        <v>34</v>
      </c>
      <c r="L3" s="40" t="s">
        <v>35</v>
      </c>
      <c r="M3" s="40" t="s">
        <v>36</v>
      </c>
      <c r="N3" s="40" t="s">
        <v>37</v>
      </c>
      <c r="O3" s="40" t="s">
        <v>38</v>
      </c>
      <c r="P3" s="40" t="s">
        <v>39</v>
      </c>
      <c r="Q3" s="40" t="s">
        <v>40</v>
      </c>
      <c r="R3" s="32" t="s">
        <v>41</v>
      </c>
      <c r="S3" s="44"/>
      <c r="T3" s="32" t="s">
        <v>42</v>
      </c>
      <c r="U3" s="32" t="s">
        <v>43</v>
      </c>
      <c r="V3" s="18" t="s">
        <v>44</v>
      </c>
      <c r="W3" s="32" t="s">
        <v>45</v>
      </c>
      <c r="X3" s="32" t="s">
        <v>41</v>
      </c>
      <c r="Z3" s="82" t="s">
        <v>46</v>
      </c>
      <c r="AA3" s="82" t="s">
        <v>31</v>
      </c>
      <c r="AB3" s="83" t="s">
        <v>47</v>
      </c>
      <c r="AC3" s="82"/>
      <c r="AD3" s="84"/>
      <c r="AE3" s="85"/>
      <c r="AF3" s="86"/>
      <c r="AG3" s="44"/>
    </row>
    <row r="4" spans="1:42" ht="15" customHeight="1" x14ac:dyDescent="0.2">
      <c r="A4" s="13" t="s">
        <v>10</v>
      </c>
      <c r="B4" s="14" t="str">
        <f>IFERROR(_xlfn.XLOOKUP($A4,'County Contribution Actual'!B:B,'County Contribution Actual'!C:C),"")</f>
        <v>yes</v>
      </c>
      <c r="C4" s="50">
        <f>VLOOKUP(A4,'County Funding Level '!$A$2:$B$102,2,FALSE)</f>
        <v>3410241</v>
      </c>
      <c r="D4" s="31">
        <f>IFERROR(_xlfn.XLOOKUP($A4,'County Contribution Actual'!B:B,'County Contribution Actual'!D:D),"")</f>
        <v>3000000</v>
      </c>
      <c r="E4" s="26" t="str">
        <f t="shared" ref="E4:E35" si="0">_xlfn.TEXTJOIN(" &amp; ",,IF(C4&gt;=$AB$5,$AA$5,""),IF(MEDIAN($AB$6,$AC$6,C4)=C4,$AA$6,""),IF(MEDIAN($AB$7,$AC$7,C4)=C4,$AA$7,""),IF(MEDIAN($AB$8,$AC$8,C4)=C4,$AA$8,""),IF(MEDIAN($AB$9,$AC$9,C4)=C4,$AA$9,""))</f>
        <v>4 &amp; 5</v>
      </c>
      <c r="G4" s="58">
        <f>_xlfn.XLOOKUP(C4,$AD$24:$AD$26,$Z$24:$Z$26,,-1)</f>
        <v>3</v>
      </c>
      <c r="H4" s="31">
        <f>SUM(J4:K4)/SUM(P4:Q4)</f>
        <v>12941176.470588233</v>
      </c>
      <c r="I4" s="50">
        <f>H4-SUM(J4:K4)</f>
        <v>1941176.4705882333</v>
      </c>
      <c r="J4" s="50">
        <f>D4</f>
        <v>3000000</v>
      </c>
      <c r="K4" s="50">
        <f t="shared" ref="K4:K35" si="1">IFERROR(MIN(J4/P4*Q4,$AE$24),0)</f>
        <v>8000000</v>
      </c>
      <c r="L4" s="59">
        <f>IFERROR(I4/$H4,"")</f>
        <v>0.14999999999999988</v>
      </c>
      <c r="M4" s="59">
        <f t="shared" ref="M4:N4" si="2">IFERROR(J4/$H4,"")</f>
        <v>0.23181818181818184</v>
      </c>
      <c r="N4" s="59">
        <f t="shared" si="2"/>
        <v>0.61818181818181828</v>
      </c>
      <c r="O4" s="59">
        <f>LOOKUP($G4,$Z$24:$Z$26,AA$24:AA$26)</f>
        <v>0.15</v>
      </c>
      <c r="P4" s="59">
        <f>LOOKUP($G4,$Z$24:$Z$26,AB$24:AB$26)</f>
        <v>0.05</v>
      </c>
      <c r="Q4" s="59">
        <f>LOOKUP($G4,$Z$24:$Z$26,AC$24:AC$26)</f>
        <v>0.8</v>
      </c>
      <c r="R4" s="60" t="str">
        <f>IF($E4="5 &amp; 4",$AE$18,IF($E4="3 &amp; 2",$AE$16,_xlfn.XLOOKUP($E4,$Z$15:$Z$19,$AE$15:$AE$19)))</f>
        <v>Scenario 4: County Share 5%</v>
      </c>
      <c r="T4" s="31">
        <f t="shared" ref="T4:T35" si="3">IFERROR(IF(E4="1","",$D4/IF($E4="4 &amp; 5",AC$19,IF($E4="2 &amp; 3",AC$17,_xlfn.XLOOKUP($E4,$Z$15:$Z$19,$AC$15:$AC$19)))),"")</f>
        <v>7058823.5294117648</v>
      </c>
      <c r="U4" s="50">
        <f t="shared" ref="U4:U35" si="4">IFERROR($T4*IF($E4="4 &amp; 5",AB$19,IF($E4="2 &amp; 3",AB$17,_xlfn.XLOOKUP($E4,$Z$15:$Z$19,AB$15:AB$19))),"")</f>
        <v>1058823.5294117646</v>
      </c>
      <c r="V4" s="50">
        <f t="shared" ref="V4:V35" si="5">IFERROR($T4*IF($E4="4 &amp; 5",AC$19,IF($E4="2 &amp; 3",AC$17,_xlfn.XLOOKUP($E4,$Z$15:$Z$19,AC$15:AC$19))),"")</f>
        <v>3000000</v>
      </c>
      <c r="W4" s="50">
        <f t="shared" ref="W4:W35" si="6">IFERROR($T4*IF($E4="4 &amp; 5",AD$19,IF($E4="2 &amp; 3",AD$17,_xlfn.XLOOKUP($E4,$Z$15:$Z$19,AD$15:AD$19))),"")</f>
        <v>3000000</v>
      </c>
      <c r="X4" s="39" t="str">
        <f t="shared" ref="X4:X35" si="7">IF(E4="1","",IF($E4="4 &amp; 5",$AE$19,IF($E4="2 &amp; 3",$AE$17,_xlfn.XLOOKUP($E4,$Z$15:$Z$19,$AE$15:$AE$19))))</f>
        <v>Scenario 5: County Share 42.5%</v>
      </c>
      <c r="Z4" s="82"/>
      <c r="AA4" s="82"/>
      <c r="AB4" s="79" t="s">
        <v>48</v>
      </c>
      <c r="AC4" s="79" t="s">
        <v>49</v>
      </c>
      <c r="AD4" s="79" t="s">
        <v>50</v>
      </c>
      <c r="AE4" s="79" t="s">
        <v>51</v>
      </c>
      <c r="AF4" s="79" t="s">
        <v>52</v>
      </c>
      <c r="AP4" s="44" t="e" cm="1">
        <f t="array" ref="AP4">_xlfn.HSTACK(_xlfn._xlws.FILTER(_xlfn._xlws.FILTER($AA$15:$AC$24,$Z$15:$Z$24&lt;$E4+1,""),_xlfn._xlws.FILTER($Z$15:$Z$24,$Z$15:$Z$24&lt;$E4+1,"")&gt;$E4,""))</f>
        <v>#VALUE!</v>
      </c>
    </row>
    <row r="5" spans="1:42" ht="15" customHeight="1" x14ac:dyDescent="0.2">
      <c r="A5" s="13" t="s">
        <v>53</v>
      </c>
      <c r="B5" s="14" t="str">
        <f>IFERROR(_xlfn.XLOOKUP($A5,'County Contribution Actual'!B:B,'County Contribution Actual'!C:C),"")</f>
        <v>yes</v>
      </c>
      <c r="C5" s="50">
        <f>VLOOKUP(A5,'County Funding Level '!$A$2:$B$102,2,FALSE)</f>
        <v>9128034</v>
      </c>
      <c r="D5" s="31">
        <f>IFERROR(_xlfn.XLOOKUP($A5,'County Contribution Actual'!B:B,'County Contribution Actual'!D:D),"")</f>
        <v>3850000</v>
      </c>
      <c r="E5" s="26" t="str">
        <f t="shared" si="0"/>
        <v>1</v>
      </c>
      <c r="G5" s="58">
        <f t="shared" ref="G5:G68" si="8">_xlfn.XLOOKUP(C5,$AD$24:$AD$26,$Z$24:$Z$26,,-1)</f>
        <v>1</v>
      </c>
      <c r="H5" s="31">
        <f t="shared" ref="H5:H68" si="9">SUM(J5:K5)/SUM(P5:Q5)</f>
        <v>11000000</v>
      </c>
      <c r="I5" s="50">
        <f t="shared" ref="I5:I68" si="10">H5-SUM(J5:K5)</f>
        <v>3300000</v>
      </c>
      <c r="J5" s="50">
        <f t="shared" ref="J5:J68" si="11">D5</f>
        <v>3850000</v>
      </c>
      <c r="K5" s="50">
        <f t="shared" si="1"/>
        <v>3849999.9999999995</v>
      </c>
      <c r="L5" s="59">
        <f t="shared" ref="L5:L68" si="12">IFERROR(I5/$H5,"")</f>
        <v>0.3</v>
      </c>
      <c r="M5" s="59">
        <f t="shared" ref="M5:M68" si="13">IFERROR(J5/$H5,"")</f>
        <v>0.35</v>
      </c>
      <c r="N5" s="59">
        <f t="shared" ref="N5:N68" si="14">IFERROR(K5/$H5,"")</f>
        <v>0.35</v>
      </c>
      <c r="O5" s="59">
        <f t="shared" ref="O5:O68" si="15">LOOKUP($G5,$Z$24:$Z$26,AA$24:AA$26)</f>
        <v>0.3</v>
      </c>
      <c r="P5" s="59">
        <f t="shared" ref="P5:P19" si="16">LOOKUP($G5,$Z$24:$Z$26,AB$24:AB$26)</f>
        <v>0.35</v>
      </c>
      <c r="Q5" s="59">
        <f t="shared" ref="Q5:Q19" si="17">LOOKUP($G5,$Z$24:$Z$26,AC$24:AC$26)</f>
        <v>0.35</v>
      </c>
      <c r="R5" s="60" t="str">
        <f t="shared" ref="R5:R68" si="18">IF($E5="5 &amp; 4",$AE$18,IF($E5="3 &amp; 2",$AE$16,_xlfn.XLOOKUP($E5,$Z$15:$Z$19,$AE$15:$AE$19)))</f>
        <v>Scenario 1: County Share 35%</v>
      </c>
      <c r="T5" s="31" t="str">
        <f t="shared" si="3"/>
        <v/>
      </c>
      <c r="U5" s="50" t="str">
        <f t="shared" si="4"/>
        <v/>
      </c>
      <c r="V5" s="50" t="str">
        <f t="shared" si="5"/>
        <v/>
      </c>
      <c r="W5" s="50" t="str">
        <f t="shared" si="6"/>
        <v/>
      </c>
      <c r="X5" s="39" t="str">
        <f t="shared" si="7"/>
        <v/>
      </c>
      <c r="Z5" s="51" t="s">
        <v>54</v>
      </c>
      <c r="AA5" s="52">
        <v>1</v>
      </c>
      <c r="AB5" s="50">
        <v>8000000</v>
      </c>
      <c r="AC5" s="50"/>
      <c r="AD5" s="51" t="s">
        <v>55</v>
      </c>
      <c r="AE5" s="30" t="s">
        <v>56</v>
      </c>
      <c r="AF5" s="30" t="s">
        <v>57</v>
      </c>
    </row>
    <row r="6" spans="1:42" x14ac:dyDescent="0.2">
      <c r="A6" s="13" t="s">
        <v>58</v>
      </c>
      <c r="B6" s="14" t="str">
        <f>IFERROR(_xlfn.XLOOKUP($A6,'County Contribution Actual'!B:B,'County Contribution Actual'!C:C),"")</f>
        <v>yes</v>
      </c>
      <c r="C6" s="50">
        <f>VLOOKUP(A6,'County Funding Level '!$A$2:$B$102,2,FALSE)</f>
        <v>50733290</v>
      </c>
      <c r="D6" s="31">
        <f>IFERROR(_xlfn.XLOOKUP($A6,'County Contribution Actual'!B:B,'County Contribution Actual'!D:D),"")</f>
        <v>4041713.18</v>
      </c>
      <c r="E6" s="26" t="str">
        <f t="shared" si="0"/>
        <v>1</v>
      </c>
      <c r="G6" s="58">
        <f t="shared" si="8"/>
        <v>1</v>
      </c>
      <c r="H6" s="31">
        <f t="shared" si="9"/>
        <v>11547751.942857144</v>
      </c>
      <c r="I6" s="50">
        <f t="shared" si="10"/>
        <v>3464325.5828571441</v>
      </c>
      <c r="J6" s="50">
        <f t="shared" si="11"/>
        <v>4041713.18</v>
      </c>
      <c r="K6" s="50">
        <f t="shared" si="1"/>
        <v>4041713.18</v>
      </c>
      <c r="L6" s="59">
        <f t="shared" si="12"/>
        <v>0.30000000000000004</v>
      </c>
      <c r="M6" s="59">
        <f t="shared" si="13"/>
        <v>0.35</v>
      </c>
      <c r="N6" s="59">
        <f t="shared" si="14"/>
        <v>0.35</v>
      </c>
      <c r="O6" s="59">
        <f t="shared" si="15"/>
        <v>0.3</v>
      </c>
      <c r="P6" s="59">
        <f t="shared" si="16"/>
        <v>0.35</v>
      </c>
      <c r="Q6" s="59">
        <f t="shared" si="17"/>
        <v>0.35</v>
      </c>
      <c r="R6" s="60" t="str">
        <f t="shared" si="18"/>
        <v>Scenario 1: County Share 35%</v>
      </c>
      <c r="T6" s="31" t="str">
        <f t="shared" si="3"/>
        <v/>
      </c>
      <c r="U6" s="50" t="str">
        <f t="shared" si="4"/>
        <v/>
      </c>
      <c r="V6" s="50" t="str">
        <f t="shared" si="5"/>
        <v/>
      </c>
      <c r="W6" s="50" t="str">
        <f t="shared" si="6"/>
        <v/>
      </c>
      <c r="X6" s="39" t="str">
        <f t="shared" si="7"/>
        <v/>
      </c>
      <c r="Z6" s="51" t="s">
        <v>59</v>
      </c>
      <c r="AA6" s="52">
        <v>2</v>
      </c>
      <c r="AB6" s="50">
        <v>4000000</v>
      </c>
      <c r="AC6" s="50">
        <v>8000000</v>
      </c>
      <c r="AD6" s="30">
        <v>0.15</v>
      </c>
      <c r="AE6" s="30" t="s">
        <v>60</v>
      </c>
      <c r="AF6" s="30" t="s">
        <v>61</v>
      </c>
    </row>
    <row r="7" spans="1:42" x14ac:dyDescent="0.2">
      <c r="A7" s="13" t="s">
        <v>62</v>
      </c>
      <c r="B7" s="14" t="str">
        <f>IFERROR(_xlfn.XLOOKUP($A7,'County Contribution Actual'!B:B,'County Contribution Actual'!C:C),"")</f>
        <v>yes</v>
      </c>
      <c r="C7" s="50">
        <f>VLOOKUP(A7,'County Funding Level '!$A$2:$B$102,2,FALSE)</f>
        <v>17575650</v>
      </c>
      <c r="D7" s="31">
        <f>IFERROR(_xlfn.XLOOKUP($A7,'County Contribution Actual'!B:B,'County Contribution Actual'!D:D),"")</f>
        <v>1350000</v>
      </c>
      <c r="E7" s="26" t="str">
        <f t="shared" si="0"/>
        <v>1</v>
      </c>
      <c r="G7" s="58">
        <f t="shared" si="8"/>
        <v>1</v>
      </c>
      <c r="H7" s="31">
        <f t="shared" si="9"/>
        <v>3857142.8571428573</v>
      </c>
      <c r="I7" s="50">
        <f t="shared" si="10"/>
        <v>1157142.8571428573</v>
      </c>
      <c r="J7" s="50">
        <f t="shared" si="11"/>
        <v>1350000</v>
      </c>
      <c r="K7" s="50">
        <f t="shared" si="1"/>
        <v>1350000</v>
      </c>
      <c r="L7" s="59">
        <f t="shared" si="12"/>
        <v>0.30000000000000004</v>
      </c>
      <c r="M7" s="59">
        <f t="shared" si="13"/>
        <v>0.35</v>
      </c>
      <c r="N7" s="59">
        <f t="shared" si="14"/>
        <v>0.35</v>
      </c>
      <c r="O7" s="59">
        <f t="shared" si="15"/>
        <v>0.3</v>
      </c>
      <c r="P7" s="59">
        <f t="shared" si="16"/>
        <v>0.35</v>
      </c>
      <c r="Q7" s="59">
        <f t="shared" si="17"/>
        <v>0.35</v>
      </c>
      <c r="R7" s="60" t="str">
        <f t="shared" si="18"/>
        <v>Scenario 1: County Share 35%</v>
      </c>
      <c r="T7" s="31" t="str">
        <f t="shared" si="3"/>
        <v/>
      </c>
      <c r="U7" s="50" t="str">
        <f t="shared" si="4"/>
        <v/>
      </c>
      <c r="V7" s="50" t="str">
        <f t="shared" si="5"/>
        <v/>
      </c>
      <c r="W7" s="50" t="str">
        <f t="shared" si="6"/>
        <v/>
      </c>
      <c r="X7" s="39" t="str">
        <f t="shared" si="7"/>
        <v/>
      </c>
      <c r="Z7" s="51" t="s">
        <v>59</v>
      </c>
      <c r="AA7" s="52">
        <v>3</v>
      </c>
      <c r="AB7" s="50">
        <v>4000000</v>
      </c>
      <c r="AC7" s="50">
        <v>8000000</v>
      </c>
      <c r="AD7" s="30" t="s">
        <v>63</v>
      </c>
      <c r="AE7" s="30" t="s">
        <v>64</v>
      </c>
      <c r="AF7" s="30" t="s">
        <v>65</v>
      </c>
    </row>
    <row r="8" spans="1:42" x14ac:dyDescent="0.2">
      <c r="A8" s="13" t="s">
        <v>66</v>
      </c>
      <c r="B8" s="14" t="str">
        <f>IFERROR(_xlfn.XLOOKUP($A8,'County Contribution Actual'!B:B,'County Contribution Actual'!C:C),"")</f>
        <v>yes</v>
      </c>
      <c r="C8" s="50">
        <f>VLOOKUP(A8,'County Funding Level '!$A$2:$B$102,2,FALSE)</f>
        <v>42043458</v>
      </c>
      <c r="D8" s="31">
        <f>IFERROR(_xlfn.XLOOKUP($A8,'County Contribution Actual'!B:B,'County Contribution Actual'!D:D),"")</f>
        <v>1950000</v>
      </c>
      <c r="E8" s="26" t="str">
        <f t="shared" si="0"/>
        <v>1</v>
      </c>
      <c r="G8" s="58">
        <f t="shared" si="8"/>
        <v>1</v>
      </c>
      <c r="H8" s="31">
        <f t="shared" si="9"/>
        <v>5571428.5714285718</v>
      </c>
      <c r="I8" s="50">
        <f t="shared" si="10"/>
        <v>1671428.5714285718</v>
      </c>
      <c r="J8" s="50">
        <f t="shared" si="11"/>
        <v>1950000</v>
      </c>
      <c r="K8" s="50">
        <f t="shared" si="1"/>
        <v>1950000</v>
      </c>
      <c r="L8" s="59">
        <f t="shared" si="12"/>
        <v>0.30000000000000004</v>
      </c>
      <c r="M8" s="59">
        <f t="shared" si="13"/>
        <v>0.35</v>
      </c>
      <c r="N8" s="59">
        <f t="shared" si="14"/>
        <v>0.35</v>
      </c>
      <c r="O8" s="59">
        <f t="shared" si="15"/>
        <v>0.3</v>
      </c>
      <c r="P8" s="59">
        <f t="shared" si="16"/>
        <v>0.35</v>
      </c>
      <c r="Q8" s="59">
        <f t="shared" si="17"/>
        <v>0.35</v>
      </c>
      <c r="R8" s="60" t="str">
        <f t="shared" si="18"/>
        <v>Scenario 1: County Share 35%</v>
      </c>
      <c r="T8" s="31" t="str">
        <f t="shared" si="3"/>
        <v/>
      </c>
      <c r="U8" s="50" t="str">
        <f t="shared" si="4"/>
        <v/>
      </c>
      <c r="V8" s="50" t="str">
        <f t="shared" si="5"/>
        <v/>
      </c>
      <c r="W8" s="50" t="str">
        <f t="shared" si="6"/>
        <v/>
      </c>
      <c r="X8" s="39" t="str">
        <f t="shared" si="7"/>
        <v/>
      </c>
      <c r="Z8" s="51" t="s">
        <v>59</v>
      </c>
      <c r="AA8" s="52">
        <v>4</v>
      </c>
      <c r="AB8" s="50">
        <v>250000</v>
      </c>
      <c r="AC8" s="50">
        <v>4000000</v>
      </c>
      <c r="AD8" s="30">
        <v>0.15</v>
      </c>
      <c r="AE8" s="30" t="s">
        <v>67</v>
      </c>
      <c r="AF8" s="30" t="s">
        <v>68</v>
      </c>
    </row>
    <row r="9" spans="1:42" x14ac:dyDescent="0.2">
      <c r="A9" s="13" t="s">
        <v>69</v>
      </c>
      <c r="B9" s="14" t="str">
        <f>IFERROR(_xlfn.XLOOKUP($A9,'County Contribution Actual'!B:B,'County Contribution Actual'!C:C),"")</f>
        <v>yes</v>
      </c>
      <c r="C9" s="50">
        <f>VLOOKUP(A9,'County Funding Level '!$A$2:$B$102,2,FALSE)</f>
        <v>15962113</v>
      </c>
      <c r="D9" s="31">
        <f>IFERROR(_xlfn.XLOOKUP($A9,'County Contribution Actual'!B:B,'County Contribution Actual'!D:D),"")</f>
        <v>531706.65</v>
      </c>
      <c r="E9" s="26" t="str">
        <f t="shared" si="0"/>
        <v>1</v>
      </c>
      <c r="G9" s="58">
        <f t="shared" si="8"/>
        <v>1</v>
      </c>
      <c r="H9" s="31">
        <f t="shared" si="9"/>
        <v>1519161.8571428573</v>
      </c>
      <c r="I9" s="50">
        <f t="shared" si="10"/>
        <v>455748.55714285723</v>
      </c>
      <c r="J9" s="50">
        <f t="shared" si="11"/>
        <v>531706.65</v>
      </c>
      <c r="K9" s="50">
        <f t="shared" si="1"/>
        <v>531706.65</v>
      </c>
      <c r="L9" s="59">
        <f t="shared" si="12"/>
        <v>0.30000000000000004</v>
      </c>
      <c r="M9" s="59">
        <f t="shared" si="13"/>
        <v>0.35</v>
      </c>
      <c r="N9" s="59">
        <f t="shared" si="14"/>
        <v>0.35</v>
      </c>
      <c r="O9" s="59">
        <f t="shared" si="15"/>
        <v>0.3</v>
      </c>
      <c r="P9" s="59">
        <f t="shared" si="16"/>
        <v>0.35</v>
      </c>
      <c r="Q9" s="59">
        <f t="shared" si="17"/>
        <v>0.35</v>
      </c>
      <c r="R9" s="60" t="str">
        <f t="shared" si="18"/>
        <v>Scenario 1: County Share 35%</v>
      </c>
      <c r="T9" s="31" t="str">
        <f t="shared" si="3"/>
        <v/>
      </c>
      <c r="U9" s="50" t="str">
        <f t="shared" si="4"/>
        <v/>
      </c>
      <c r="V9" s="50" t="str">
        <f t="shared" si="5"/>
        <v/>
      </c>
      <c r="W9" s="50" t="str">
        <f t="shared" si="6"/>
        <v/>
      </c>
      <c r="X9" s="39" t="str">
        <f t="shared" si="7"/>
        <v/>
      </c>
      <c r="Z9" s="51" t="s">
        <v>59</v>
      </c>
      <c r="AA9" s="52">
        <v>5</v>
      </c>
      <c r="AB9" s="50">
        <v>250000</v>
      </c>
      <c r="AC9" s="50">
        <v>4000000</v>
      </c>
      <c r="AD9" s="30" t="s">
        <v>63</v>
      </c>
      <c r="AE9" s="30" t="s">
        <v>64</v>
      </c>
      <c r="AF9" s="30" t="s">
        <v>65</v>
      </c>
    </row>
    <row r="10" spans="1:42" x14ac:dyDescent="0.2">
      <c r="A10" s="13" t="s">
        <v>70</v>
      </c>
      <c r="B10" s="14" t="str">
        <f>IFERROR(_xlfn.XLOOKUP($A10,'County Contribution Actual'!B:B,'County Contribution Actual'!C:C),"")</f>
        <v>yes</v>
      </c>
      <c r="C10" s="50">
        <f>VLOOKUP(A10,'County Funding Level '!$A$2:$B$102,2,FALSE)</f>
        <v>4390562</v>
      </c>
      <c r="D10" s="31">
        <f>IFERROR(_xlfn.XLOOKUP($A10,'County Contribution Actual'!B:B,'County Contribution Actual'!D:D),"")</f>
        <v>365000</v>
      </c>
      <c r="E10" s="26" t="str">
        <f t="shared" si="0"/>
        <v>2 &amp; 3</v>
      </c>
      <c r="G10" s="58">
        <f t="shared" si="8"/>
        <v>2</v>
      </c>
      <c r="H10" s="31">
        <f t="shared" si="9"/>
        <v>3650000</v>
      </c>
      <c r="I10" s="50">
        <f t="shared" si="10"/>
        <v>547500</v>
      </c>
      <c r="J10" s="50">
        <f t="shared" si="11"/>
        <v>365000</v>
      </c>
      <c r="K10" s="50">
        <f t="shared" si="1"/>
        <v>2737500</v>
      </c>
      <c r="L10" s="59">
        <f t="shared" si="12"/>
        <v>0.15</v>
      </c>
      <c r="M10" s="59">
        <f t="shared" si="13"/>
        <v>0.1</v>
      </c>
      <c r="N10" s="59">
        <f t="shared" si="14"/>
        <v>0.75</v>
      </c>
      <c r="O10" s="59">
        <f t="shared" si="15"/>
        <v>0.15</v>
      </c>
      <c r="P10" s="59">
        <f t="shared" si="16"/>
        <v>0.1</v>
      </c>
      <c r="Q10" s="59">
        <f t="shared" si="17"/>
        <v>0.75</v>
      </c>
      <c r="R10" s="60" t="str">
        <f t="shared" si="18"/>
        <v>Scenario 2: County Share 10%</v>
      </c>
      <c r="T10" s="31">
        <f t="shared" si="3"/>
        <v>858823.5294117647</v>
      </c>
      <c r="U10" s="50">
        <f t="shared" si="4"/>
        <v>128823.5294117647</v>
      </c>
      <c r="V10" s="50">
        <f t="shared" si="5"/>
        <v>365000</v>
      </c>
      <c r="W10" s="50">
        <f t="shared" si="6"/>
        <v>365000</v>
      </c>
      <c r="X10" s="39" t="str">
        <f t="shared" si="7"/>
        <v>Scenario 3: County Share 42.5%</v>
      </c>
      <c r="AC10" s="53"/>
    </row>
    <row r="11" spans="1:42" x14ac:dyDescent="0.2">
      <c r="A11" s="13" t="s">
        <v>71</v>
      </c>
      <c r="B11" s="14" t="str">
        <f>IFERROR(_xlfn.XLOOKUP($A11,'County Contribution Actual'!B:B,'County Contribution Actual'!C:C),"")</f>
        <v>yes</v>
      </c>
      <c r="C11" s="50">
        <f>VLOOKUP(A11,'County Funding Level '!$A$2:$B$102,2,FALSE)</f>
        <v>2708264</v>
      </c>
      <c r="D11" s="31">
        <f>IFERROR(_xlfn.XLOOKUP($A11,'County Contribution Actual'!B:B,'County Contribution Actual'!D:D),"")</f>
        <v>400000</v>
      </c>
      <c r="E11" s="26" t="str">
        <f t="shared" si="0"/>
        <v>4 &amp; 5</v>
      </c>
      <c r="G11" s="58">
        <f t="shared" si="8"/>
        <v>3</v>
      </c>
      <c r="H11" s="31">
        <f t="shared" si="9"/>
        <v>7999999.9999999991</v>
      </c>
      <c r="I11" s="50">
        <f t="shared" si="10"/>
        <v>1199999.9999999991</v>
      </c>
      <c r="J11" s="50">
        <f t="shared" si="11"/>
        <v>400000</v>
      </c>
      <c r="K11" s="50">
        <f t="shared" si="1"/>
        <v>6400000</v>
      </c>
      <c r="L11" s="59">
        <f t="shared" si="12"/>
        <v>0.14999999999999991</v>
      </c>
      <c r="M11" s="59">
        <f t="shared" si="13"/>
        <v>0.05</v>
      </c>
      <c r="N11" s="59">
        <f t="shared" si="14"/>
        <v>0.8</v>
      </c>
      <c r="O11" s="59">
        <f t="shared" si="15"/>
        <v>0.15</v>
      </c>
      <c r="P11" s="59">
        <f t="shared" si="16"/>
        <v>0.05</v>
      </c>
      <c r="Q11" s="59">
        <f t="shared" si="17"/>
        <v>0.8</v>
      </c>
      <c r="R11" s="60" t="str">
        <f t="shared" si="18"/>
        <v>Scenario 4: County Share 5%</v>
      </c>
      <c r="T11" s="31">
        <f t="shared" si="3"/>
        <v>941176.4705882353</v>
      </c>
      <c r="U11" s="50">
        <f t="shared" si="4"/>
        <v>141176.4705882353</v>
      </c>
      <c r="V11" s="50">
        <f t="shared" si="5"/>
        <v>400000</v>
      </c>
      <c r="W11" s="50">
        <f t="shared" si="6"/>
        <v>400000</v>
      </c>
      <c r="X11" s="39" t="str">
        <f t="shared" si="7"/>
        <v>Scenario 5: County Share 42.5%</v>
      </c>
      <c r="AC11" s="53"/>
    </row>
    <row r="12" spans="1:42" x14ac:dyDescent="0.2">
      <c r="A12" s="13" t="s">
        <v>72</v>
      </c>
      <c r="B12" s="14" t="str">
        <f>IFERROR(_xlfn.XLOOKUP($A12,'County Contribution Actual'!B:B,'County Contribution Actual'!C:C),"")</f>
        <v>yes</v>
      </c>
      <c r="C12" s="50">
        <f>VLOOKUP(A12,'County Funding Level '!$A$2:$B$102,2,FALSE)</f>
        <v>19025057</v>
      </c>
      <c r="D12" s="31">
        <f>IFERROR(_xlfn.XLOOKUP($A12,'County Contribution Actual'!B:B,'County Contribution Actual'!D:D),"")</f>
        <v>300000</v>
      </c>
      <c r="E12" s="26" t="str">
        <f t="shared" si="0"/>
        <v>1</v>
      </c>
      <c r="G12" s="58">
        <f t="shared" si="8"/>
        <v>1</v>
      </c>
      <c r="H12" s="31">
        <f t="shared" si="9"/>
        <v>857142.85714285716</v>
      </c>
      <c r="I12" s="50">
        <f t="shared" si="10"/>
        <v>257142.85714285716</v>
      </c>
      <c r="J12" s="50">
        <f t="shared" si="11"/>
        <v>300000</v>
      </c>
      <c r="K12" s="50">
        <f t="shared" si="1"/>
        <v>300000</v>
      </c>
      <c r="L12" s="59">
        <f t="shared" si="12"/>
        <v>0.3</v>
      </c>
      <c r="M12" s="59">
        <f t="shared" si="13"/>
        <v>0.35</v>
      </c>
      <c r="N12" s="59">
        <f t="shared" si="14"/>
        <v>0.35</v>
      </c>
      <c r="O12" s="59">
        <f t="shared" si="15"/>
        <v>0.3</v>
      </c>
      <c r="P12" s="59">
        <f t="shared" si="16"/>
        <v>0.35</v>
      </c>
      <c r="Q12" s="59">
        <f t="shared" si="17"/>
        <v>0.35</v>
      </c>
      <c r="R12" s="60" t="str">
        <f t="shared" si="18"/>
        <v>Scenario 1: County Share 35%</v>
      </c>
      <c r="T12" s="31" t="str">
        <f t="shared" si="3"/>
        <v/>
      </c>
      <c r="U12" s="50" t="str">
        <f t="shared" si="4"/>
        <v/>
      </c>
      <c r="V12" s="50" t="str">
        <f t="shared" si="5"/>
        <v/>
      </c>
      <c r="W12" s="50" t="str">
        <f t="shared" si="6"/>
        <v/>
      </c>
      <c r="X12" s="39" t="str">
        <f t="shared" si="7"/>
        <v/>
      </c>
      <c r="AC12" s="53"/>
    </row>
    <row r="13" spans="1:42" x14ac:dyDescent="0.2">
      <c r="A13" s="13" t="s">
        <v>73</v>
      </c>
      <c r="B13" s="14" t="str">
        <f>IFERROR(_xlfn.XLOOKUP($A13,'County Contribution Actual'!B:B,'County Contribution Actual'!C:C),"")</f>
        <v>yes</v>
      </c>
      <c r="C13" s="50">
        <f>VLOOKUP(A13,'County Funding Level '!$A$2:$B$102,2,FALSE)</f>
        <v>9997833</v>
      </c>
      <c r="D13" s="31">
        <f>IFERROR(_xlfn.XLOOKUP($A13,'County Contribution Actual'!B:B,'County Contribution Actual'!D:D),"")</f>
        <v>950000</v>
      </c>
      <c r="E13" s="38" t="str">
        <f t="shared" si="0"/>
        <v>1</v>
      </c>
      <c r="G13" s="58">
        <f t="shared" si="8"/>
        <v>1</v>
      </c>
      <c r="H13" s="31">
        <f t="shared" si="9"/>
        <v>2714285.7142857146</v>
      </c>
      <c r="I13" s="50">
        <f t="shared" si="10"/>
        <v>814285.71428571455</v>
      </c>
      <c r="J13" s="50">
        <f t="shared" si="11"/>
        <v>950000</v>
      </c>
      <c r="K13" s="50">
        <f t="shared" si="1"/>
        <v>950000</v>
      </c>
      <c r="L13" s="59">
        <f t="shared" si="12"/>
        <v>0.30000000000000004</v>
      </c>
      <c r="M13" s="59">
        <f t="shared" si="13"/>
        <v>0.35</v>
      </c>
      <c r="N13" s="59">
        <f t="shared" si="14"/>
        <v>0.35</v>
      </c>
      <c r="O13" s="59">
        <f t="shared" si="15"/>
        <v>0.3</v>
      </c>
      <c r="P13" s="59">
        <f t="shared" si="16"/>
        <v>0.35</v>
      </c>
      <c r="Q13" s="59">
        <f t="shared" si="17"/>
        <v>0.35</v>
      </c>
      <c r="R13" s="60" t="str">
        <f t="shared" si="18"/>
        <v>Scenario 1: County Share 35%</v>
      </c>
      <c r="T13" s="31" t="str">
        <f t="shared" si="3"/>
        <v/>
      </c>
      <c r="U13" s="50" t="str">
        <f t="shared" si="4"/>
        <v/>
      </c>
      <c r="V13" s="50" t="str">
        <f t="shared" si="5"/>
        <v/>
      </c>
      <c r="W13" s="50" t="str">
        <f t="shared" si="6"/>
        <v/>
      </c>
      <c r="X13" s="39" t="str">
        <f t="shared" si="7"/>
        <v/>
      </c>
      <c r="AC13" s="53"/>
    </row>
    <row r="14" spans="1:42" ht="15" x14ac:dyDescent="0.2">
      <c r="A14" s="13" t="s">
        <v>74</v>
      </c>
      <c r="B14" s="14" t="str">
        <f>IFERROR(_xlfn.XLOOKUP($A14,'County Contribution Actual'!B:B,'County Contribution Actual'!C:C),"")</f>
        <v>yes</v>
      </c>
      <c r="C14" s="50">
        <f>VLOOKUP(A14,'County Funding Level '!$A$2:$B$102,2,FALSE)</f>
        <v>13535494</v>
      </c>
      <c r="D14" s="31">
        <f>IFERROR(_xlfn.XLOOKUP($A14,'County Contribution Actual'!B:B,'County Contribution Actual'!D:D),"")</f>
        <v>2000000</v>
      </c>
      <c r="E14" s="38" t="str">
        <f t="shared" si="0"/>
        <v>1</v>
      </c>
      <c r="G14" s="58">
        <f t="shared" si="8"/>
        <v>1</v>
      </c>
      <c r="H14" s="31">
        <f t="shared" si="9"/>
        <v>5714285.7142857146</v>
      </c>
      <c r="I14" s="50">
        <f t="shared" si="10"/>
        <v>1714285.7142857146</v>
      </c>
      <c r="J14" s="50">
        <f t="shared" si="11"/>
        <v>2000000</v>
      </c>
      <c r="K14" s="50">
        <f t="shared" si="1"/>
        <v>2000000</v>
      </c>
      <c r="L14" s="59">
        <f t="shared" si="12"/>
        <v>0.30000000000000004</v>
      </c>
      <c r="M14" s="59">
        <f t="shared" si="13"/>
        <v>0.35</v>
      </c>
      <c r="N14" s="59">
        <f t="shared" si="14"/>
        <v>0.35</v>
      </c>
      <c r="O14" s="59">
        <f t="shared" si="15"/>
        <v>0.3</v>
      </c>
      <c r="P14" s="59">
        <f t="shared" si="16"/>
        <v>0.35</v>
      </c>
      <c r="Q14" s="59">
        <f t="shared" si="17"/>
        <v>0.35</v>
      </c>
      <c r="R14" s="60" t="str">
        <f t="shared" si="18"/>
        <v>Scenario 1: County Share 35%</v>
      </c>
      <c r="T14" s="31" t="str">
        <f t="shared" si="3"/>
        <v/>
      </c>
      <c r="U14" s="50" t="str">
        <f t="shared" si="4"/>
        <v/>
      </c>
      <c r="V14" s="50" t="str">
        <f t="shared" si="5"/>
        <v/>
      </c>
      <c r="W14" s="50" t="str">
        <f t="shared" si="6"/>
        <v/>
      </c>
      <c r="X14" s="39" t="str">
        <f t="shared" si="7"/>
        <v/>
      </c>
      <c r="Z14" s="79" t="s">
        <v>75</v>
      </c>
      <c r="AA14" s="79" t="s">
        <v>31</v>
      </c>
      <c r="AB14" s="79" t="s">
        <v>76</v>
      </c>
      <c r="AC14" s="79" t="s">
        <v>77</v>
      </c>
      <c r="AD14" s="79" t="s">
        <v>78</v>
      </c>
      <c r="AE14" s="79" t="s">
        <v>41</v>
      </c>
    </row>
    <row r="15" spans="1:42" x14ac:dyDescent="0.2">
      <c r="A15" s="13" t="s">
        <v>79</v>
      </c>
      <c r="B15" s="14" t="str">
        <f>IFERROR(_xlfn.XLOOKUP($A15,'County Contribution Actual'!B:B,'County Contribution Actual'!C:C),"")</f>
        <v>yes</v>
      </c>
      <c r="C15" s="50">
        <f>VLOOKUP(A15,'County Funding Level '!$A$2:$B$102,2,FALSE)</f>
        <v>2245783</v>
      </c>
      <c r="D15" s="31">
        <f>IFERROR(_xlfn.XLOOKUP($A15,'County Contribution Actual'!B:B,'County Contribution Actual'!D:D),"")</f>
        <v>200000</v>
      </c>
      <c r="E15" s="38" t="str">
        <f t="shared" si="0"/>
        <v>4 &amp; 5</v>
      </c>
      <c r="G15" s="58">
        <f t="shared" si="8"/>
        <v>3</v>
      </c>
      <c r="H15" s="31">
        <f t="shared" si="9"/>
        <v>3999999.9999999995</v>
      </c>
      <c r="I15" s="50">
        <f t="shared" si="10"/>
        <v>599999.99999999953</v>
      </c>
      <c r="J15" s="50">
        <f t="shared" si="11"/>
        <v>200000</v>
      </c>
      <c r="K15" s="50">
        <f t="shared" si="1"/>
        <v>3200000</v>
      </c>
      <c r="L15" s="59">
        <f t="shared" si="12"/>
        <v>0.14999999999999991</v>
      </c>
      <c r="M15" s="59">
        <f t="shared" si="13"/>
        <v>0.05</v>
      </c>
      <c r="N15" s="59">
        <f t="shared" si="14"/>
        <v>0.8</v>
      </c>
      <c r="O15" s="59">
        <f t="shared" si="15"/>
        <v>0.15</v>
      </c>
      <c r="P15" s="59">
        <f t="shared" si="16"/>
        <v>0.05</v>
      </c>
      <c r="Q15" s="59">
        <f t="shared" si="17"/>
        <v>0.8</v>
      </c>
      <c r="R15" s="60" t="str">
        <f t="shared" si="18"/>
        <v>Scenario 4: County Share 5%</v>
      </c>
      <c r="T15" s="31">
        <f t="shared" si="3"/>
        <v>470588.23529411765</v>
      </c>
      <c r="U15" s="50">
        <f t="shared" si="4"/>
        <v>70588.23529411765</v>
      </c>
      <c r="V15" s="50">
        <f t="shared" si="5"/>
        <v>200000</v>
      </c>
      <c r="W15" s="50">
        <f t="shared" si="6"/>
        <v>200000</v>
      </c>
      <c r="X15" s="39" t="str">
        <f t="shared" si="7"/>
        <v>Scenario 5: County Share 42.5%</v>
      </c>
      <c r="Z15" s="51" t="s">
        <v>80</v>
      </c>
      <c r="AA15" s="52">
        <v>1</v>
      </c>
      <c r="AB15" s="30">
        <v>0.3</v>
      </c>
      <c r="AC15" s="30">
        <v>0.35</v>
      </c>
      <c r="AD15" s="30">
        <f>1-AB15-AC15</f>
        <v>0.35</v>
      </c>
      <c r="AE15" s="39" t="s">
        <v>81</v>
      </c>
    </row>
    <row r="16" spans="1:42" x14ac:dyDescent="0.2">
      <c r="A16" s="13" t="s">
        <v>82</v>
      </c>
      <c r="B16" s="14" t="str">
        <f>IFERROR(_xlfn.XLOOKUP($A16,'County Contribution Actual'!B:B,'County Contribution Actual'!C:C),"")</f>
        <v>yes</v>
      </c>
      <c r="C16" s="50">
        <f>VLOOKUP(A16,'County Funding Level '!$A$2:$B$102,2,FALSE)</f>
        <v>11740344</v>
      </c>
      <c r="D16" s="31">
        <f>IFERROR(_xlfn.XLOOKUP($A16,'County Contribution Actual'!B:B,'County Contribution Actual'!D:D),"")</f>
        <v>2000000</v>
      </c>
      <c r="E16" s="38" t="str">
        <f t="shared" si="0"/>
        <v>1</v>
      </c>
      <c r="G16" s="58">
        <f t="shared" si="8"/>
        <v>1</v>
      </c>
      <c r="H16" s="31">
        <f t="shared" si="9"/>
        <v>5714285.7142857146</v>
      </c>
      <c r="I16" s="50">
        <f t="shared" si="10"/>
        <v>1714285.7142857146</v>
      </c>
      <c r="J16" s="50">
        <f t="shared" si="11"/>
        <v>2000000</v>
      </c>
      <c r="K16" s="50">
        <f t="shared" si="1"/>
        <v>2000000</v>
      </c>
      <c r="L16" s="59">
        <f t="shared" si="12"/>
        <v>0.30000000000000004</v>
      </c>
      <c r="M16" s="59">
        <f t="shared" si="13"/>
        <v>0.35</v>
      </c>
      <c r="N16" s="59">
        <f t="shared" si="14"/>
        <v>0.35</v>
      </c>
      <c r="O16" s="59">
        <f t="shared" si="15"/>
        <v>0.3</v>
      </c>
      <c r="P16" s="59">
        <f t="shared" si="16"/>
        <v>0.35</v>
      </c>
      <c r="Q16" s="59">
        <f t="shared" si="17"/>
        <v>0.35</v>
      </c>
      <c r="R16" s="60" t="str">
        <f t="shared" si="18"/>
        <v>Scenario 1: County Share 35%</v>
      </c>
      <c r="T16" s="31" t="str">
        <f t="shared" si="3"/>
        <v/>
      </c>
      <c r="U16" s="50" t="str">
        <f t="shared" si="4"/>
        <v/>
      </c>
      <c r="V16" s="50" t="str">
        <f t="shared" si="5"/>
        <v/>
      </c>
      <c r="W16" s="50" t="str">
        <f t="shared" si="6"/>
        <v/>
      </c>
      <c r="X16" s="39" t="str">
        <f t="shared" si="7"/>
        <v/>
      </c>
      <c r="Z16" s="51" t="s">
        <v>83</v>
      </c>
      <c r="AA16" s="52">
        <v>2</v>
      </c>
      <c r="AB16" s="30">
        <v>0.15</v>
      </c>
      <c r="AC16" s="30">
        <v>0.1</v>
      </c>
      <c r="AD16" s="30">
        <f>1-AB16-AC16</f>
        <v>0.75</v>
      </c>
      <c r="AE16" s="39" t="s">
        <v>84</v>
      </c>
    </row>
    <row r="17" spans="1:31" x14ac:dyDescent="0.2">
      <c r="A17" s="13" t="s">
        <v>85</v>
      </c>
      <c r="B17" s="14" t="str">
        <f>IFERROR(_xlfn.XLOOKUP($A17,'County Contribution Actual'!B:B,'County Contribution Actual'!C:C),"")</f>
        <v>yes</v>
      </c>
      <c r="C17" s="50">
        <f>VLOOKUP(A17,'County Funding Level '!$A$2:$B$102,2,FALSE)</f>
        <v>26411744</v>
      </c>
      <c r="D17" s="31">
        <f>IFERROR(_xlfn.XLOOKUP($A17,'County Contribution Actual'!B:B,'County Contribution Actual'!D:D),"")</f>
        <v>2000000</v>
      </c>
      <c r="E17" s="38" t="str">
        <f t="shared" si="0"/>
        <v>1</v>
      </c>
      <c r="G17" s="58">
        <f t="shared" si="8"/>
        <v>1</v>
      </c>
      <c r="H17" s="31">
        <f t="shared" si="9"/>
        <v>5714285.7142857146</v>
      </c>
      <c r="I17" s="50">
        <f t="shared" si="10"/>
        <v>1714285.7142857146</v>
      </c>
      <c r="J17" s="50">
        <f t="shared" si="11"/>
        <v>2000000</v>
      </c>
      <c r="K17" s="50">
        <f t="shared" si="1"/>
        <v>2000000</v>
      </c>
      <c r="L17" s="59">
        <f t="shared" si="12"/>
        <v>0.30000000000000004</v>
      </c>
      <c r="M17" s="59">
        <f t="shared" si="13"/>
        <v>0.35</v>
      </c>
      <c r="N17" s="59">
        <f t="shared" si="14"/>
        <v>0.35</v>
      </c>
      <c r="O17" s="59">
        <f t="shared" si="15"/>
        <v>0.3</v>
      </c>
      <c r="P17" s="59">
        <f t="shared" si="16"/>
        <v>0.35</v>
      </c>
      <c r="Q17" s="59">
        <f t="shared" si="17"/>
        <v>0.35</v>
      </c>
      <c r="R17" s="60" t="str">
        <f t="shared" si="18"/>
        <v>Scenario 1: County Share 35%</v>
      </c>
      <c r="T17" s="31" t="str">
        <f t="shared" si="3"/>
        <v/>
      </c>
      <c r="U17" s="50" t="str">
        <f t="shared" si="4"/>
        <v/>
      </c>
      <c r="V17" s="50" t="str">
        <f t="shared" si="5"/>
        <v/>
      </c>
      <c r="W17" s="50" t="str">
        <f t="shared" si="6"/>
        <v/>
      </c>
      <c r="X17" s="39" t="str">
        <f t="shared" si="7"/>
        <v/>
      </c>
      <c r="Z17" s="51" t="s">
        <v>83</v>
      </c>
      <c r="AA17" s="52">
        <v>3</v>
      </c>
      <c r="AB17" s="30">
        <v>0.15</v>
      </c>
      <c r="AC17" s="30">
        <f>(1-AB17)/2</f>
        <v>0.42499999999999999</v>
      </c>
      <c r="AD17" s="30">
        <f>1-AB17-AC17</f>
        <v>0.42499999999999999</v>
      </c>
      <c r="AE17" s="39" t="s">
        <v>86</v>
      </c>
    </row>
    <row r="18" spans="1:31" x14ac:dyDescent="0.2">
      <c r="A18" s="13" t="s">
        <v>87</v>
      </c>
      <c r="B18" s="14" t="str">
        <f>IFERROR(_xlfn.XLOOKUP($A18,'County Contribution Actual'!B:B,'County Contribution Actual'!C:C),"")</f>
        <v>yes</v>
      </c>
      <c r="C18" s="50">
        <f>VLOOKUP(A18,'County Funding Level '!$A$2:$B$102,2,FALSE)</f>
        <v>12104347</v>
      </c>
      <c r="D18" s="31">
        <f>IFERROR(_xlfn.XLOOKUP($A18,'County Contribution Actual'!B:B,'County Contribution Actual'!D:D),"")</f>
        <v>700000</v>
      </c>
      <c r="E18" s="38" t="str">
        <f t="shared" si="0"/>
        <v>1</v>
      </c>
      <c r="G18" s="58">
        <f t="shared" si="8"/>
        <v>1</v>
      </c>
      <c r="H18" s="31">
        <f t="shared" si="9"/>
        <v>2000000.0000000002</v>
      </c>
      <c r="I18" s="50">
        <f t="shared" si="10"/>
        <v>600000.00000000023</v>
      </c>
      <c r="J18" s="50">
        <f t="shared" si="11"/>
        <v>700000</v>
      </c>
      <c r="K18" s="50">
        <f t="shared" si="1"/>
        <v>700000</v>
      </c>
      <c r="L18" s="59">
        <f t="shared" si="12"/>
        <v>0.3000000000000001</v>
      </c>
      <c r="M18" s="59">
        <f t="shared" si="13"/>
        <v>0.35</v>
      </c>
      <c r="N18" s="59">
        <f t="shared" si="14"/>
        <v>0.35</v>
      </c>
      <c r="O18" s="59">
        <f t="shared" si="15"/>
        <v>0.3</v>
      </c>
      <c r="P18" s="59">
        <f t="shared" si="16"/>
        <v>0.35</v>
      </c>
      <c r="Q18" s="59">
        <f t="shared" si="17"/>
        <v>0.35</v>
      </c>
      <c r="R18" s="60" t="str">
        <f t="shared" si="18"/>
        <v>Scenario 1: County Share 35%</v>
      </c>
      <c r="T18" s="31" t="str">
        <f t="shared" si="3"/>
        <v/>
      </c>
      <c r="U18" s="50" t="str">
        <f t="shared" si="4"/>
        <v/>
      </c>
      <c r="V18" s="50" t="str">
        <f t="shared" si="5"/>
        <v/>
      </c>
      <c r="W18" s="50" t="str">
        <f t="shared" si="6"/>
        <v/>
      </c>
      <c r="X18" s="39" t="str">
        <f t="shared" si="7"/>
        <v/>
      </c>
      <c r="Z18" s="51" t="s">
        <v>88</v>
      </c>
      <c r="AA18" s="52">
        <v>4</v>
      </c>
      <c r="AB18" s="30">
        <v>0.15</v>
      </c>
      <c r="AC18" s="30">
        <f>1-AB18-AD18</f>
        <v>4.9999999999999933E-2</v>
      </c>
      <c r="AD18" s="30">
        <v>0.8</v>
      </c>
      <c r="AE18" s="39" t="s">
        <v>89</v>
      </c>
    </row>
    <row r="19" spans="1:31" x14ac:dyDescent="0.2">
      <c r="A19" s="13" t="s">
        <v>90</v>
      </c>
      <c r="B19" s="14" t="str">
        <f>IFERROR(_xlfn.XLOOKUP($A19,'County Contribution Actual'!B:B,'County Contribution Actual'!C:C),"")</f>
        <v>yes</v>
      </c>
      <c r="C19" s="50">
        <f>VLOOKUP(A19,'County Funding Level '!$A$2:$B$102,2,FALSE)</f>
        <v>1829530</v>
      </c>
      <c r="D19" s="31">
        <f>IFERROR(_xlfn.XLOOKUP($A19,'County Contribution Actual'!B:B,'County Contribution Actual'!D:D),"")</f>
        <v>100000</v>
      </c>
      <c r="E19" s="38" t="str">
        <f t="shared" si="0"/>
        <v>4 &amp; 5</v>
      </c>
      <c r="G19" s="58">
        <f t="shared" si="8"/>
        <v>3</v>
      </c>
      <c r="H19" s="31">
        <f t="shared" si="9"/>
        <v>1999999.9999999998</v>
      </c>
      <c r="I19" s="50">
        <f t="shared" si="10"/>
        <v>299999.99999999977</v>
      </c>
      <c r="J19" s="50">
        <f t="shared" si="11"/>
        <v>100000</v>
      </c>
      <c r="K19" s="50">
        <f t="shared" si="1"/>
        <v>1600000</v>
      </c>
      <c r="L19" s="59">
        <f t="shared" si="12"/>
        <v>0.14999999999999991</v>
      </c>
      <c r="M19" s="59">
        <f t="shared" si="13"/>
        <v>0.05</v>
      </c>
      <c r="N19" s="59">
        <f t="shared" si="14"/>
        <v>0.8</v>
      </c>
      <c r="O19" s="59">
        <f t="shared" si="15"/>
        <v>0.15</v>
      </c>
      <c r="P19" s="59">
        <f t="shared" si="16"/>
        <v>0.05</v>
      </c>
      <c r="Q19" s="59">
        <f t="shared" si="17"/>
        <v>0.8</v>
      </c>
      <c r="R19" s="60" t="str">
        <f t="shared" si="18"/>
        <v>Scenario 4: County Share 5%</v>
      </c>
      <c r="T19" s="31">
        <f t="shared" si="3"/>
        <v>235294.11764705883</v>
      </c>
      <c r="U19" s="50">
        <f t="shared" si="4"/>
        <v>35294.117647058825</v>
      </c>
      <c r="V19" s="50">
        <f t="shared" si="5"/>
        <v>100000</v>
      </c>
      <c r="W19" s="50">
        <f t="shared" si="6"/>
        <v>100000</v>
      </c>
      <c r="X19" s="39" t="str">
        <f t="shared" si="7"/>
        <v>Scenario 5: County Share 42.5%</v>
      </c>
      <c r="Z19" s="51" t="s">
        <v>88</v>
      </c>
      <c r="AA19" s="52">
        <v>5</v>
      </c>
      <c r="AB19" s="30">
        <v>0.15</v>
      </c>
      <c r="AC19" s="30">
        <f>(1-AB19)/2</f>
        <v>0.42499999999999999</v>
      </c>
      <c r="AD19" s="30">
        <f>1-AB19-AC19</f>
        <v>0.42499999999999999</v>
      </c>
      <c r="AE19" s="39" t="s">
        <v>91</v>
      </c>
    </row>
    <row r="20" spans="1:31" x14ac:dyDescent="0.2">
      <c r="A20" s="13" t="s">
        <v>92</v>
      </c>
      <c r="B20" s="14" t="str">
        <f>IFERROR(_xlfn.XLOOKUP($A20,'County Contribution Actual'!B:B,'County Contribution Actual'!C:C),"")</f>
        <v>yes</v>
      </c>
      <c r="C20" s="50">
        <f>VLOOKUP(A20,'County Funding Level '!$A$2:$B$102,2,FALSE)</f>
        <v>11999847</v>
      </c>
      <c r="D20" s="31">
        <f>IFERROR(_xlfn.XLOOKUP($A20,'County Contribution Actual'!B:B,'County Contribution Actual'!D:D),"")</f>
        <v>1750000</v>
      </c>
      <c r="E20" s="38" t="str">
        <f t="shared" si="0"/>
        <v>1</v>
      </c>
      <c r="G20" s="58">
        <f t="shared" si="8"/>
        <v>1</v>
      </c>
      <c r="H20" s="31">
        <f t="shared" si="9"/>
        <v>5000000</v>
      </c>
      <c r="I20" s="50">
        <f t="shared" si="10"/>
        <v>1500000</v>
      </c>
      <c r="J20" s="50">
        <f t="shared" si="11"/>
        <v>1750000</v>
      </c>
      <c r="K20" s="50">
        <f t="shared" si="1"/>
        <v>1750000</v>
      </c>
      <c r="L20" s="59">
        <f t="shared" si="12"/>
        <v>0.3</v>
      </c>
      <c r="M20" s="59">
        <f t="shared" si="13"/>
        <v>0.35</v>
      </c>
      <c r="N20" s="59">
        <f t="shared" si="14"/>
        <v>0.35</v>
      </c>
      <c r="O20" s="59">
        <f t="shared" si="15"/>
        <v>0.3</v>
      </c>
      <c r="P20" s="59">
        <f t="shared" ref="P20:P83" si="19">LOOKUP($G20,$Z$24:$Z$26,AB$24:AB$26)</f>
        <v>0.35</v>
      </c>
      <c r="Q20" s="59">
        <f t="shared" ref="Q20:Q83" si="20">LOOKUP($G20,$Z$24:$Z$26,AC$24:AC$26)</f>
        <v>0.35</v>
      </c>
      <c r="R20" s="60" t="str">
        <f t="shared" si="18"/>
        <v>Scenario 1: County Share 35%</v>
      </c>
      <c r="T20" s="31" t="str">
        <f t="shared" si="3"/>
        <v/>
      </c>
      <c r="U20" s="50" t="str">
        <f t="shared" si="4"/>
        <v/>
      </c>
      <c r="V20" s="50" t="str">
        <f t="shared" si="5"/>
        <v/>
      </c>
      <c r="W20" s="50" t="str">
        <f t="shared" si="6"/>
        <v/>
      </c>
      <c r="X20" s="39" t="str">
        <f t="shared" si="7"/>
        <v/>
      </c>
      <c r="Z20" s="54"/>
      <c r="AA20" s="53"/>
      <c r="AB20" s="53"/>
      <c r="AC20" s="53"/>
    </row>
    <row r="21" spans="1:31" x14ac:dyDescent="0.2">
      <c r="A21" s="13" t="s">
        <v>93</v>
      </c>
      <c r="B21" s="14" t="str">
        <f>IFERROR(_xlfn.XLOOKUP($A21,'County Contribution Actual'!B:B,'County Contribution Actual'!C:C),"")</f>
        <v>yes</v>
      </c>
      <c r="C21" s="50">
        <f>VLOOKUP(A21,'County Funding Level '!$A$2:$B$102,2,FALSE)</f>
        <v>8887567</v>
      </c>
      <c r="D21" s="31">
        <f>IFERROR(_xlfn.XLOOKUP($A21,'County Contribution Actual'!B:B,'County Contribution Actual'!D:D),"")</f>
        <v>900000</v>
      </c>
      <c r="E21" s="38" t="str">
        <f t="shared" si="0"/>
        <v>1</v>
      </c>
      <c r="G21" s="58">
        <f t="shared" si="8"/>
        <v>1</v>
      </c>
      <c r="H21" s="31">
        <f t="shared" si="9"/>
        <v>2571428.5714285714</v>
      </c>
      <c r="I21" s="50">
        <f t="shared" si="10"/>
        <v>771428.57142857136</v>
      </c>
      <c r="J21" s="50">
        <f t="shared" si="11"/>
        <v>900000</v>
      </c>
      <c r="K21" s="50">
        <f t="shared" si="1"/>
        <v>899999.99999999988</v>
      </c>
      <c r="L21" s="59">
        <f t="shared" si="12"/>
        <v>0.3</v>
      </c>
      <c r="M21" s="59">
        <f t="shared" si="13"/>
        <v>0.35000000000000003</v>
      </c>
      <c r="N21" s="59">
        <f t="shared" si="14"/>
        <v>0.35</v>
      </c>
      <c r="O21" s="59">
        <f t="shared" si="15"/>
        <v>0.3</v>
      </c>
      <c r="P21" s="59">
        <f t="shared" si="19"/>
        <v>0.35</v>
      </c>
      <c r="Q21" s="59">
        <f t="shared" si="20"/>
        <v>0.35</v>
      </c>
      <c r="R21" s="60" t="str">
        <f t="shared" si="18"/>
        <v>Scenario 1: County Share 35%</v>
      </c>
      <c r="T21" s="31" t="str">
        <f t="shared" si="3"/>
        <v/>
      </c>
      <c r="U21" s="50" t="str">
        <f t="shared" si="4"/>
        <v/>
      </c>
      <c r="V21" s="50" t="str">
        <f t="shared" si="5"/>
        <v/>
      </c>
      <c r="W21" s="50" t="str">
        <f t="shared" si="6"/>
        <v/>
      </c>
      <c r="X21" s="39" t="str">
        <f t="shared" si="7"/>
        <v/>
      </c>
    </row>
    <row r="22" spans="1:31" x14ac:dyDescent="0.2">
      <c r="A22" s="13" t="s">
        <v>94</v>
      </c>
      <c r="B22" s="14" t="str">
        <f>IFERROR(_xlfn.XLOOKUP($A22,'County Contribution Actual'!B:B,'County Contribution Actual'!C:C),"")</f>
        <v>yes</v>
      </c>
      <c r="C22" s="50">
        <f>VLOOKUP(A22,'County Funding Level '!$A$2:$B$102,2,FALSE)</f>
        <v>2471876</v>
      </c>
      <c r="D22" s="31">
        <f>IFERROR(_xlfn.XLOOKUP($A22,'County Contribution Actual'!B:B,'County Contribution Actual'!D:D),"")</f>
        <v>600000</v>
      </c>
      <c r="E22" s="38" t="str">
        <f t="shared" si="0"/>
        <v>4 &amp; 5</v>
      </c>
      <c r="G22" s="58">
        <f t="shared" si="8"/>
        <v>3</v>
      </c>
      <c r="H22" s="31">
        <f t="shared" si="9"/>
        <v>7319056.0588235287</v>
      </c>
      <c r="I22" s="50">
        <f t="shared" si="10"/>
        <v>1097858.4088235283</v>
      </c>
      <c r="J22" s="50">
        <f t="shared" si="11"/>
        <v>600000</v>
      </c>
      <c r="K22" s="80">
        <v>5621197.6500000004</v>
      </c>
      <c r="L22" s="59">
        <f t="shared" si="12"/>
        <v>0.14999999999999986</v>
      </c>
      <c r="M22" s="59">
        <f t="shared" si="13"/>
        <v>8.1977784454412894E-2</v>
      </c>
      <c r="N22" s="59">
        <f t="shared" si="14"/>
        <v>0.76802221554558725</v>
      </c>
      <c r="O22" s="59">
        <f t="shared" si="15"/>
        <v>0.15</v>
      </c>
      <c r="P22" s="59">
        <f t="shared" si="19"/>
        <v>0.05</v>
      </c>
      <c r="Q22" s="59">
        <f t="shared" si="20"/>
        <v>0.8</v>
      </c>
      <c r="R22" s="60" t="str">
        <f t="shared" si="18"/>
        <v>Scenario 4: County Share 5%</v>
      </c>
      <c r="T22" s="31">
        <f t="shared" si="3"/>
        <v>1411764.705882353</v>
      </c>
      <c r="U22" s="50">
        <f t="shared" si="4"/>
        <v>211764.70588235295</v>
      </c>
      <c r="V22" s="50">
        <f t="shared" si="5"/>
        <v>600000</v>
      </c>
      <c r="W22" s="50">
        <f t="shared" si="6"/>
        <v>600000</v>
      </c>
      <c r="X22" s="39" t="str">
        <f t="shared" si="7"/>
        <v>Scenario 5: County Share 42.5%</v>
      </c>
    </row>
    <row r="23" spans="1:31" ht="15" x14ac:dyDescent="0.2">
      <c r="A23" s="13" t="s">
        <v>95</v>
      </c>
      <c r="B23" s="14" t="str">
        <f>IFERROR(_xlfn.XLOOKUP($A23,'County Contribution Actual'!B:B,'County Contribution Actual'!C:C),"")</f>
        <v>yes</v>
      </c>
      <c r="C23" s="50">
        <f>VLOOKUP(A23,'County Funding Level '!$A$2:$B$102,2,FALSE)</f>
        <v>7735345</v>
      </c>
      <c r="D23" s="31">
        <f>IFERROR(_xlfn.XLOOKUP($A23,'County Contribution Actual'!B:B,'County Contribution Actual'!D:D),"")</f>
        <v>1066666.67</v>
      </c>
      <c r="E23" s="38" t="str">
        <f t="shared" si="0"/>
        <v>2 &amp; 3</v>
      </c>
      <c r="G23" s="58">
        <f t="shared" si="8"/>
        <v>2</v>
      </c>
      <c r="H23" s="31">
        <f t="shared" si="9"/>
        <v>10666666.670588236</v>
      </c>
      <c r="I23" s="50">
        <f t="shared" si="10"/>
        <v>1600000.0005882364</v>
      </c>
      <c r="J23" s="50">
        <f t="shared" si="11"/>
        <v>1066666.67</v>
      </c>
      <c r="K23" s="50">
        <f t="shared" si="1"/>
        <v>8000000</v>
      </c>
      <c r="L23" s="59">
        <f t="shared" si="12"/>
        <v>0.15000000000000008</v>
      </c>
      <c r="M23" s="59">
        <f t="shared" si="13"/>
        <v>0.10000000027573527</v>
      </c>
      <c r="N23" s="59">
        <f t="shared" si="14"/>
        <v>0.74999999972426468</v>
      </c>
      <c r="O23" s="59">
        <f t="shared" si="15"/>
        <v>0.15</v>
      </c>
      <c r="P23" s="59">
        <f t="shared" si="19"/>
        <v>0.1</v>
      </c>
      <c r="Q23" s="59">
        <f t="shared" si="20"/>
        <v>0.75</v>
      </c>
      <c r="R23" s="60" t="str">
        <f t="shared" si="18"/>
        <v>Scenario 2: County Share 10%</v>
      </c>
      <c r="T23" s="31">
        <f t="shared" si="3"/>
        <v>2509803.9294117647</v>
      </c>
      <c r="U23" s="50">
        <f t="shared" si="4"/>
        <v>376470.5894117647</v>
      </c>
      <c r="V23" s="50">
        <f t="shared" si="5"/>
        <v>1066666.67</v>
      </c>
      <c r="W23" s="50">
        <f t="shared" si="6"/>
        <v>1066666.67</v>
      </c>
      <c r="X23" s="39" t="str">
        <f t="shared" si="7"/>
        <v>Scenario 3: County Share 42.5%</v>
      </c>
      <c r="Z23" s="79" t="s">
        <v>75</v>
      </c>
      <c r="AA23" s="79" t="s">
        <v>9</v>
      </c>
      <c r="AB23" s="79" t="s">
        <v>18</v>
      </c>
      <c r="AC23" s="79" t="s">
        <v>19</v>
      </c>
      <c r="AD23" s="79" t="s">
        <v>96</v>
      </c>
      <c r="AE23" s="79" t="s">
        <v>97</v>
      </c>
    </row>
    <row r="24" spans="1:31" x14ac:dyDescent="0.2">
      <c r="A24" s="13" t="s">
        <v>98</v>
      </c>
      <c r="B24" s="14" t="str">
        <f>IFERROR(_xlfn.XLOOKUP($A24,'County Contribution Actual'!B:B,'County Contribution Actual'!C:C),"")</f>
        <v>yes</v>
      </c>
      <c r="C24" s="50">
        <f>VLOOKUP(A24,'County Funding Level '!$A$2:$B$102,2,FALSE)</f>
        <v>2615030</v>
      </c>
      <c r="D24" s="31">
        <f>IFERROR(_xlfn.XLOOKUP($A24,'County Contribution Actual'!B:B,'County Contribution Actual'!D:D),"")</f>
        <v>250000</v>
      </c>
      <c r="E24" s="38" t="str">
        <f t="shared" si="0"/>
        <v>4 &amp; 5</v>
      </c>
      <c r="G24" s="58">
        <f t="shared" si="8"/>
        <v>3</v>
      </c>
      <c r="H24" s="31">
        <f t="shared" si="9"/>
        <v>4999999.9999999991</v>
      </c>
      <c r="I24" s="50">
        <f t="shared" si="10"/>
        <v>749999.99999999907</v>
      </c>
      <c r="J24" s="50">
        <f t="shared" si="11"/>
        <v>250000</v>
      </c>
      <c r="K24" s="50">
        <f t="shared" si="1"/>
        <v>4000000</v>
      </c>
      <c r="L24" s="59">
        <f t="shared" si="12"/>
        <v>0.14999999999999983</v>
      </c>
      <c r="M24" s="59">
        <f t="shared" si="13"/>
        <v>5.000000000000001E-2</v>
      </c>
      <c r="N24" s="59">
        <f t="shared" si="14"/>
        <v>0.80000000000000016</v>
      </c>
      <c r="O24" s="59">
        <f t="shared" si="15"/>
        <v>0.15</v>
      </c>
      <c r="P24" s="59">
        <f t="shared" si="19"/>
        <v>0.05</v>
      </c>
      <c r="Q24" s="59">
        <f t="shared" si="20"/>
        <v>0.8</v>
      </c>
      <c r="R24" s="60" t="str">
        <f t="shared" si="18"/>
        <v>Scenario 4: County Share 5%</v>
      </c>
      <c r="T24" s="31">
        <f t="shared" si="3"/>
        <v>588235.29411764711</v>
      </c>
      <c r="U24" s="50">
        <f t="shared" si="4"/>
        <v>88235.294117647063</v>
      </c>
      <c r="V24" s="50">
        <f t="shared" si="5"/>
        <v>250000</v>
      </c>
      <c r="W24" s="50">
        <f t="shared" si="6"/>
        <v>250000</v>
      </c>
      <c r="X24" s="39" t="str">
        <f t="shared" si="7"/>
        <v>Scenario 5: County Share 42.5%</v>
      </c>
      <c r="Z24" s="51">
        <v>1</v>
      </c>
      <c r="AA24" s="30">
        <v>0.3</v>
      </c>
      <c r="AB24" s="30">
        <v>0.35</v>
      </c>
      <c r="AC24" s="30">
        <v>0.35</v>
      </c>
      <c r="AD24" s="50">
        <v>8000000</v>
      </c>
      <c r="AE24" s="50">
        <v>8000000</v>
      </c>
    </row>
    <row r="25" spans="1:31" ht="15.75" customHeight="1" x14ac:dyDescent="0.2">
      <c r="A25" s="13" t="s">
        <v>99</v>
      </c>
      <c r="B25" s="14" t="str">
        <f>IFERROR(_xlfn.XLOOKUP($A25,'County Contribution Actual'!B:B,'County Contribution Actual'!C:C),"")</f>
        <v>yes</v>
      </c>
      <c r="C25" s="50">
        <f>VLOOKUP(A25,'County Funding Level '!$A$2:$B$102,2,FALSE)</f>
        <v>7670470</v>
      </c>
      <c r="D25" s="31">
        <f>IFERROR(_xlfn.XLOOKUP($A25,'County Contribution Actual'!B:B,'County Contribution Actual'!D:D),"")</f>
        <v>1066666.67</v>
      </c>
      <c r="E25" s="38" t="str">
        <f t="shared" si="0"/>
        <v>2 &amp; 3</v>
      </c>
      <c r="G25" s="58">
        <f t="shared" si="8"/>
        <v>2</v>
      </c>
      <c r="H25" s="31">
        <f t="shared" si="9"/>
        <v>10666666.670588236</v>
      </c>
      <c r="I25" s="50">
        <f t="shared" si="10"/>
        <v>1600000.0005882364</v>
      </c>
      <c r="J25" s="50">
        <f t="shared" si="11"/>
        <v>1066666.67</v>
      </c>
      <c r="K25" s="50">
        <f t="shared" si="1"/>
        <v>8000000</v>
      </c>
      <c r="L25" s="59">
        <f t="shared" si="12"/>
        <v>0.15000000000000008</v>
      </c>
      <c r="M25" s="59">
        <f t="shared" si="13"/>
        <v>0.10000000027573527</v>
      </c>
      <c r="N25" s="59">
        <f t="shared" si="14"/>
        <v>0.74999999972426468</v>
      </c>
      <c r="O25" s="59">
        <f t="shared" si="15"/>
        <v>0.15</v>
      </c>
      <c r="P25" s="59">
        <f t="shared" si="19"/>
        <v>0.1</v>
      </c>
      <c r="Q25" s="59">
        <f t="shared" si="20"/>
        <v>0.75</v>
      </c>
      <c r="R25" s="60" t="str">
        <f t="shared" si="18"/>
        <v>Scenario 2: County Share 10%</v>
      </c>
      <c r="T25" s="31">
        <f t="shared" si="3"/>
        <v>2509803.9294117647</v>
      </c>
      <c r="U25" s="50">
        <f t="shared" si="4"/>
        <v>376470.5894117647</v>
      </c>
      <c r="V25" s="50">
        <f t="shared" si="5"/>
        <v>1066666.67</v>
      </c>
      <c r="W25" s="50">
        <f t="shared" si="6"/>
        <v>1066666.67</v>
      </c>
      <c r="X25" s="39" t="str">
        <f t="shared" si="7"/>
        <v>Scenario 3: County Share 42.5%</v>
      </c>
      <c r="Z25" s="51">
        <v>2</v>
      </c>
      <c r="AA25" s="30">
        <v>0.15</v>
      </c>
      <c r="AB25" s="30">
        <v>0.1</v>
      </c>
      <c r="AC25" s="30">
        <v>0.75</v>
      </c>
      <c r="AD25" s="50">
        <v>4000000</v>
      </c>
    </row>
    <row r="26" spans="1:31" x14ac:dyDescent="0.2">
      <c r="A26" s="13" t="s">
        <v>100</v>
      </c>
      <c r="B26" s="14" t="str">
        <f>IFERROR(_xlfn.XLOOKUP($A26,'County Contribution Actual'!B:B,'County Contribution Actual'!C:C),"")</f>
        <v>yes</v>
      </c>
      <c r="C26" s="50">
        <f>VLOOKUP(A26,'County Funding Level '!$A$2:$B$102,2,FALSE)</f>
        <v>35107015</v>
      </c>
      <c r="D26" s="31">
        <f>IFERROR(_xlfn.XLOOKUP($A26,'County Contribution Actual'!B:B,'County Contribution Actual'!D:D),"")</f>
        <v>4000000</v>
      </c>
      <c r="E26" s="38" t="str">
        <f t="shared" si="0"/>
        <v>1</v>
      </c>
      <c r="G26" s="58">
        <f t="shared" si="8"/>
        <v>1</v>
      </c>
      <c r="H26" s="31">
        <f t="shared" si="9"/>
        <v>11428571.428571429</v>
      </c>
      <c r="I26" s="50">
        <f t="shared" si="10"/>
        <v>3428571.4285714291</v>
      </c>
      <c r="J26" s="50">
        <f t="shared" si="11"/>
        <v>4000000</v>
      </c>
      <c r="K26" s="50">
        <f t="shared" si="1"/>
        <v>4000000</v>
      </c>
      <c r="L26" s="59">
        <f t="shared" si="12"/>
        <v>0.30000000000000004</v>
      </c>
      <c r="M26" s="59">
        <f t="shared" si="13"/>
        <v>0.35</v>
      </c>
      <c r="N26" s="59">
        <f t="shared" si="14"/>
        <v>0.35</v>
      </c>
      <c r="O26" s="59">
        <f t="shared" si="15"/>
        <v>0.3</v>
      </c>
      <c r="P26" s="59">
        <f t="shared" si="19"/>
        <v>0.35</v>
      </c>
      <c r="Q26" s="59">
        <f t="shared" si="20"/>
        <v>0.35</v>
      </c>
      <c r="R26" s="60" t="str">
        <f t="shared" si="18"/>
        <v>Scenario 1: County Share 35%</v>
      </c>
      <c r="T26" s="31" t="str">
        <f t="shared" si="3"/>
        <v/>
      </c>
      <c r="U26" s="50" t="str">
        <f t="shared" si="4"/>
        <v/>
      </c>
      <c r="V26" s="50" t="str">
        <f t="shared" si="5"/>
        <v/>
      </c>
      <c r="W26" s="50" t="str">
        <f t="shared" si="6"/>
        <v/>
      </c>
      <c r="X26" s="39" t="str">
        <f t="shared" si="7"/>
        <v/>
      </c>
      <c r="Z26" s="51">
        <v>3</v>
      </c>
      <c r="AA26" s="30">
        <v>0.15</v>
      </c>
      <c r="AB26" s="30">
        <v>0.05</v>
      </c>
      <c r="AC26" s="30">
        <v>0.8</v>
      </c>
      <c r="AD26" s="50">
        <v>250000</v>
      </c>
    </row>
    <row r="27" spans="1:31" x14ac:dyDescent="0.2">
      <c r="A27" s="13" t="s">
        <v>101</v>
      </c>
      <c r="B27" s="14" t="str">
        <f>IFERROR(_xlfn.XLOOKUP($A27,'County Contribution Actual'!B:B,'County Contribution Actual'!C:C),"")</f>
        <v>yes</v>
      </c>
      <c r="C27" s="50">
        <f>VLOOKUP(A27,'County Funding Level '!$A$2:$B$102,2,FALSE)</f>
        <v>4025394</v>
      </c>
      <c r="D27" s="31">
        <f>IFERROR(_xlfn.XLOOKUP($A27,'County Contribution Actual'!B:B,'County Contribution Actual'!D:D),"")</f>
        <v>1000000</v>
      </c>
      <c r="E27" s="38" t="str">
        <f t="shared" si="0"/>
        <v>2 &amp; 3</v>
      </c>
      <c r="G27" s="58">
        <f t="shared" si="8"/>
        <v>2</v>
      </c>
      <c r="H27" s="31">
        <f t="shared" si="9"/>
        <v>10000000</v>
      </c>
      <c r="I27" s="50">
        <f t="shared" si="10"/>
        <v>1500000</v>
      </c>
      <c r="J27" s="50">
        <f t="shared" si="11"/>
        <v>1000000</v>
      </c>
      <c r="K27" s="50">
        <f t="shared" si="1"/>
        <v>7500000</v>
      </c>
      <c r="L27" s="59">
        <f t="shared" si="12"/>
        <v>0.15</v>
      </c>
      <c r="M27" s="59">
        <f t="shared" si="13"/>
        <v>0.1</v>
      </c>
      <c r="N27" s="59">
        <f t="shared" si="14"/>
        <v>0.75</v>
      </c>
      <c r="O27" s="59">
        <f t="shared" si="15"/>
        <v>0.15</v>
      </c>
      <c r="P27" s="59">
        <f t="shared" si="19"/>
        <v>0.1</v>
      </c>
      <c r="Q27" s="59">
        <f t="shared" si="20"/>
        <v>0.75</v>
      </c>
      <c r="R27" s="60" t="str">
        <f t="shared" si="18"/>
        <v>Scenario 2: County Share 10%</v>
      </c>
      <c r="T27" s="31">
        <f t="shared" si="3"/>
        <v>2352941.1764705884</v>
      </c>
      <c r="U27" s="50">
        <f t="shared" si="4"/>
        <v>352941.17647058825</v>
      </c>
      <c r="V27" s="50">
        <f t="shared" si="5"/>
        <v>1000000</v>
      </c>
      <c r="W27" s="50">
        <f t="shared" si="6"/>
        <v>1000000</v>
      </c>
      <c r="X27" s="39" t="str">
        <f t="shared" si="7"/>
        <v>Scenario 3: County Share 42.5%</v>
      </c>
      <c r="AC27" s="53"/>
    </row>
    <row r="28" spans="1:31" x14ac:dyDescent="0.2">
      <c r="A28" s="13" t="s">
        <v>102</v>
      </c>
      <c r="B28" s="14" t="str">
        <f>IFERROR(_xlfn.XLOOKUP($A28,'County Contribution Actual'!B:B,'County Contribution Actual'!C:C),"")</f>
        <v>yes</v>
      </c>
      <c r="C28" s="50">
        <f>VLOOKUP(A28,'County Funding Level '!$A$2:$B$102,2,FALSE)</f>
        <v>12199329</v>
      </c>
      <c r="D28" s="31">
        <f>IFERROR(_xlfn.XLOOKUP($A28,'County Contribution Actual'!B:B,'County Contribution Actual'!D:D),"")</f>
        <v>1500000</v>
      </c>
      <c r="E28" s="38" t="str">
        <f t="shared" si="0"/>
        <v>1</v>
      </c>
      <c r="G28" s="58">
        <f t="shared" si="8"/>
        <v>1</v>
      </c>
      <c r="H28" s="31">
        <f t="shared" si="9"/>
        <v>4285714.2857142864</v>
      </c>
      <c r="I28" s="50">
        <f t="shared" si="10"/>
        <v>1285714.2857142864</v>
      </c>
      <c r="J28" s="50">
        <f t="shared" si="11"/>
        <v>1500000</v>
      </c>
      <c r="K28" s="50">
        <f t="shared" si="1"/>
        <v>1500000.0000000002</v>
      </c>
      <c r="L28" s="59">
        <f t="shared" si="12"/>
        <v>0.3000000000000001</v>
      </c>
      <c r="M28" s="59">
        <f t="shared" si="13"/>
        <v>0.34999999999999992</v>
      </c>
      <c r="N28" s="59">
        <f t="shared" si="14"/>
        <v>0.35</v>
      </c>
      <c r="O28" s="59">
        <f t="shared" si="15"/>
        <v>0.3</v>
      </c>
      <c r="P28" s="59">
        <f t="shared" si="19"/>
        <v>0.35</v>
      </c>
      <c r="Q28" s="59">
        <f t="shared" si="20"/>
        <v>0.35</v>
      </c>
      <c r="R28" s="60" t="str">
        <f t="shared" si="18"/>
        <v>Scenario 1: County Share 35%</v>
      </c>
      <c r="T28" s="31" t="str">
        <f t="shared" si="3"/>
        <v/>
      </c>
      <c r="U28" s="50" t="str">
        <f t="shared" si="4"/>
        <v/>
      </c>
      <c r="V28" s="50" t="str">
        <f t="shared" si="5"/>
        <v/>
      </c>
      <c r="W28" s="50" t="str">
        <f t="shared" si="6"/>
        <v/>
      </c>
      <c r="X28" s="39" t="str">
        <f t="shared" si="7"/>
        <v/>
      </c>
      <c r="AC28" s="53"/>
    </row>
    <row r="29" spans="1:31" x14ac:dyDescent="0.2">
      <c r="A29" s="13" t="s">
        <v>103</v>
      </c>
      <c r="B29" s="14" t="str">
        <f>IFERROR(_xlfn.XLOOKUP($A29,'County Contribution Actual'!B:B,'County Contribution Actual'!C:C),"")</f>
        <v>yes</v>
      </c>
      <c r="C29" s="50">
        <f>VLOOKUP(A29,'County Funding Level '!$A$2:$B$102,2,FALSE)</f>
        <v>2771974</v>
      </c>
      <c r="D29" s="31">
        <f>IFERROR(_xlfn.XLOOKUP($A29,'County Contribution Actual'!B:B,'County Contribution Actual'!D:D),"")</f>
        <v>200000</v>
      </c>
      <c r="E29" s="38" t="str">
        <f t="shared" si="0"/>
        <v>4 &amp; 5</v>
      </c>
      <c r="G29" s="58">
        <f t="shared" si="8"/>
        <v>3</v>
      </c>
      <c r="H29" s="31">
        <f t="shared" si="9"/>
        <v>3999999.9999999995</v>
      </c>
      <c r="I29" s="50">
        <f t="shared" si="10"/>
        <v>599999.99999999953</v>
      </c>
      <c r="J29" s="50">
        <f t="shared" si="11"/>
        <v>200000</v>
      </c>
      <c r="K29" s="50">
        <f t="shared" si="1"/>
        <v>3200000</v>
      </c>
      <c r="L29" s="59">
        <f t="shared" si="12"/>
        <v>0.14999999999999991</v>
      </c>
      <c r="M29" s="59">
        <f t="shared" si="13"/>
        <v>0.05</v>
      </c>
      <c r="N29" s="59">
        <f t="shared" si="14"/>
        <v>0.8</v>
      </c>
      <c r="O29" s="59">
        <f t="shared" si="15"/>
        <v>0.15</v>
      </c>
      <c r="P29" s="59">
        <f t="shared" si="19"/>
        <v>0.05</v>
      </c>
      <c r="Q29" s="59">
        <f t="shared" si="20"/>
        <v>0.8</v>
      </c>
      <c r="R29" s="60" t="str">
        <f t="shared" si="18"/>
        <v>Scenario 4: County Share 5%</v>
      </c>
      <c r="T29" s="31">
        <f t="shared" si="3"/>
        <v>470588.23529411765</v>
      </c>
      <c r="U29" s="50">
        <f t="shared" si="4"/>
        <v>70588.23529411765</v>
      </c>
      <c r="V29" s="50">
        <f t="shared" si="5"/>
        <v>200000</v>
      </c>
      <c r="W29" s="50">
        <f t="shared" si="6"/>
        <v>200000</v>
      </c>
      <c r="X29" s="39" t="str">
        <f t="shared" si="7"/>
        <v>Scenario 5: County Share 42.5%</v>
      </c>
      <c r="AC29" s="53"/>
    </row>
    <row r="30" spans="1:31" x14ac:dyDescent="0.2">
      <c r="A30" s="13" t="s">
        <v>104</v>
      </c>
      <c r="B30" s="14" t="str">
        <f>IFERROR(_xlfn.XLOOKUP($A30,'County Contribution Actual'!B:B,'County Contribution Actual'!C:C),"")</f>
        <v>yes</v>
      </c>
      <c r="C30" s="50">
        <f>VLOOKUP(A30,'County Funding Level '!$A$2:$B$102,2,FALSE)</f>
        <v>46589799</v>
      </c>
      <c r="D30" s="31">
        <f>IFERROR(_xlfn.XLOOKUP($A30,'County Contribution Actual'!B:B,'County Contribution Actual'!D:D),"")</f>
        <v>500000</v>
      </c>
      <c r="E30" s="38" t="str">
        <f t="shared" si="0"/>
        <v>1</v>
      </c>
      <c r="G30" s="58">
        <f t="shared" si="8"/>
        <v>1</v>
      </c>
      <c r="H30" s="31">
        <f t="shared" si="9"/>
        <v>1428571.4285714286</v>
      </c>
      <c r="I30" s="50">
        <f t="shared" si="10"/>
        <v>428571.42857142864</v>
      </c>
      <c r="J30" s="50">
        <f t="shared" si="11"/>
        <v>500000</v>
      </c>
      <c r="K30" s="50">
        <f t="shared" si="1"/>
        <v>500000</v>
      </c>
      <c r="L30" s="59">
        <f t="shared" si="12"/>
        <v>0.30000000000000004</v>
      </c>
      <c r="M30" s="59">
        <f t="shared" si="13"/>
        <v>0.35</v>
      </c>
      <c r="N30" s="59">
        <f t="shared" si="14"/>
        <v>0.35</v>
      </c>
      <c r="O30" s="59">
        <f t="shared" si="15"/>
        <v>0.3</v>
      </c>
      <c r="P30" s="59">
        <f t="shared" si="19"/>
        <v>0.35</v>
      </c>
      <c r="Q30" s="59">
        <f t="shared" si="20"/>
        <v>0.35</v>
      </c>
      <c r="R30" s="60" t="str">
        <f t="shared" si="18"/>
        <v>Scenario 1: County Share 35%</v>
      </c>
      <c r="T30" s="31" t="str">
        <f t="shared" si="3"/>
        <v/>
      </c>
      <c r="U30" s="50" t="str">
        <f t="shared" si="4"/>
        <v/>
      </c>
      <c r="V30" s="50" t="str">
        <f t="shared" si="5"/>
        <v/>
      </c>
      <c r="W30" s="50" t="str">
        <f t="shared" si="6"/>
        <v/>
      </c>
      <c r="X30" s="39" t="str">
        <f t="shared" si="7"/>
        <v/>
      </c>
      <c r="AC30" s="53"/>
    </row>
    <row r="31" spans="1:31" x14ac:dyDescent="0.2">
      <c r="A31" s="13" t="s">
        <v>105</v>
      </c>
      <c r="B31" s="14" t="str">
        <f>IFERROR(_xlfn.XLOOKUP($A31,'County Contribution Actual'!B:B,'County Contribution Actual'!C:C),"")</f>
        <v>yes</v>
      </c>
      <c r="C31" s="50">
        <f>VLOOKUP(A31,'County Funding Level '!$A$2:$B$102,2,FALSE)</f>
        <v>215946541</v>
      </c>
      <c r="D31" s="31">
        <f>IFERROR(_xlfn.XLOOKUP($A31,'County Contribution Actual'!B:B,'County Contribution Actual'!D:D),"")</f>
        <v>6852000</v>
      </c>
      <c r="E31" s="38" t="str">
        <f t="shared" si="0"/>
        <v>1</v>
      </c>
      <c r="G31" s="58">
        <f t="shared" si="8"/>
        <v>1</v>
      </c>
      <c r="H31" s="31">
        <f t="shared" si="9"/>
        <v>19577142.857142858</v>
      </c>
      <c r="I31" s="50">
        <f t="shared" si="10"/>
        <v>5873142.8571428582</v>
      </c>
      <c r="J31" s="50">
        <f t="shared" si="11"/>
        <v>6852000</v>
      </c>
      <c r="K31" s="50">
        <f t="shared" si="1"/>
        <v>6852000</v>
      </c>
      <c r="L31" s="59">
        <f t="shared" si="12"/>
        <v>0.30000000000000004</v>
      </c>
      <c r="M31" s="59">
        <f t="shared" si="13"/>
        <v>0.35</v>
      </c>
      <c r="N31" s="59">
        <f t="shared" si="14"/>
        <v>0.35</v>
      </c>
      <c r="O31" s="59">
        <f t="shared" si="15"/>
        <v>0.3</v>
      </c>
      <c r="P31" s="59">
        <f t="shared" si="19"/>
        <v>0.35</v>
      </c>
      <c r="Q31" s="59">
        <f t="shared" si="20"/>
        <v>0.35</v>
      </c>
      <c r="R31" s="60" t="str">
        <f t="shared" si="18"/>
        <v>Scenario 1: County Share 35%</v>
      </c>
      <c r="T31" s="31" t="str">
        <f t="shared" si="3"/>
        <v/>
      </c>
      <c r="U31" s="50" t="str">
        <f t="shared" si="4"/>
        <v/>
      </c>
      <c r="V31" s="50" t="str">
        <f t="shared" si="5"/>
        <v/>
      </c>
      <c r="W31" s="50" t="str">
        <f t="shared" si="6"/>
        <v/>
      </c>
      <c r="X31" s="39" t="str">
        <f t="shared" si="7"/>
        <v/>
      </c>
      <c r="AC31" s="53"/>
    </row>
    <row r="32" spans="1:31" x14ac:dyDescent="0.2">
      <c r="A32" s="13" t="s">
        <v>106</v>
      </c>
      <c r="B32" s="14" t="str">
        <f>IFERROR(_xlfn.XLOOKUP($A32,'County Contribution Actual'!B:B,'County Contribution Actual'!C:C),"")</f>
        <v/>
      </c>
      <c r="C32" s="50">
        <f>VLOOKUP(A32,'County Funding Level '!$A$2:$B$102,2,FALSE)</f>
        <v>32925136</v>
      </c>
      <c r="D32" s="31" t="str">
        <f>IFERROR(_xlfn.XLOOKUP($A32,'County Contribution Actual'!B:B,'County Contribution Actual'!D:D),"")</f>
        <v/>
      </c>
      <c r="E32" s="26" t="str">
        <f t="shared" si="0"/>
        <v>1</v>
      </c>
      <c r="G32" s="58">
        <f t="shared" si="8"/>
        <v>1</v>
      </c>
      <c r="H32" s="31">
        <f t="shared" si="9"/>
        <v>0</v>
      </c>
      <c r="I32" s="50">
        <f t="shared" si="10"/>
        <v>0</v>
      </c>
      <c r="J32" s="50" t="str">
        <f t="shared" si="11"/>
        <v/>
      </c>
      <c r="K32" s="50">
        <f t="shared" si="1"/>
        <v>0</v>
      </c>
      <c r="L32" s="59" t="str">
        <f t="shared" si="12"/>
        <v/>
      </c>
      <c r="M32" s="59" t="str">
        <f t="shared" si="13"/>
        <v/>
      </c>
      <c r="N32" s="59" t="str">
        <f t="shared" si="14"/>
        <v/>
      </c>
      <c r="O32" s="59">
        <f t="shared" si="15"/>
        <v>0.3</v>
      </c>
      <c r="P32" s="59">
        <f t="shared" si="19"/>
        <v>0.35</v>
      </c>
      <c r="Q32" s="59">
        <f t="shared" si="20"/>
        <v>0.35</v>
      </c>
      <c r="R32" s="60" t="str">
        <f t="shared" si="18"/>
        <v>Scenario 1: County Share 35%</v>
      </c>
      <c r="T32" s="31" t="str">
        <f t="shared" si="3"/>
        <v/>
      </c>
      <c r="U32" s="50" t="str">
        <f t="shared" si="4"/>
        <v/>
      </c>
      <c r="V32" s="50" t="str">
        <f t="shared" si="5"/>
        <v/>
      </c>
      <c r="W32" s="50" t="str">
        <f t="shared" si="6"/>
        <v/>
      </c>
      <c r="X32" s="39" t="str">
        <f t="shared" si="7"/>
        <v/>
      </c>
      <c r="AC32" s="53"/>
    </row>
    <row r="33" spans="1:29" x14ac:dyDescent="0.2">
      <c r="A33" s="13" t="s">
        <v>107</v>
      </c>
      <c r="B33" s="14" t="str">
        <f>IFERROR(_xlfn.XLOOKUP($A33,'County Contribution Actual'!B:B,'County Contribution Actual'!C:C),"")</f>
        <v/>
      </c>
      <c r="C33" s="50">
        <f>VLOOKUP(A33,'County Funding Level '!$A$2:$B$102,2,FALSE)</f>
        <v>7283353</v>
      </c>
      <c r="D33" s="31" t="str">
        <f>IFERROR(_xlfn.XLOOKUP($A33,'County Contribution Actual'!B:B,'County Contribution Actual'!D:D),"")</f>
        <v/>
      </c>
      <c r="E33" s="26" t="str">
        <f t="shared" si="0"/>
        <v>2 &amp; 3</v>
      </c>
      <c r="G33" s="58">
        <f t="shared" si="8"/>
        <v>2</v>
      </c>
      <c r="H33" s="31">
        <f t="shared" si="9"/>
        <v>0</v>
      </c>
      <c r="I33" s="50">
        <f t="shared" si="10"/>
        <v>0</v>
      </c>
      <c r="J33" s="50" t="str">
        <f t="shared" si="11"/>
        <v/>
      </c>
      <c r="K33" s="50">
        <f t="shared" si="1"/>
        <v>0</v>
      </c>
      <c r="L33" s="59" t="str">
        <f t="shared" si="12"/>
        <v/>
      </c>
      <c r="M33" s="59" t="str">
        <f t="shared" si="13"/>
        <v/>
      </c>
      <c r="N33" s="59" t="str">
        <f t="shared" si="14"/>
        <v/>
      </c>
      <c r="O33" s="59">
        <f t="shared" si="15"/>
        <v>0.15</v>
      </c>
      <c r="P33" s="59">
        <f t="shared" si="19"/>
        <v>0.1</v>
      </c>
      <c r="Q33" s="59">
        <f t="shared" si="20"/>
        <v>0.75</v>
      </c>
      <c r="R33" s="60" t="str">
        <f t="shared" si="18"/>
        <v>Scenario 2: County Share 10%</v>
      </c>
      <c r="T33" s="31" t="str">
        <f t="shared" si="3"/>
        <v/>
      </c>
      <c r="U33" s="50" t="str">
        <f t="shared" si="4"/>
        <v/>
      </c>
      <c r="V33" s="50" t="str">
        <f t="shared" si="5"/>
        <v/>
      </c>
      <c r="W33" s="50" t="str">
        <f t="shared" si="6"/>
        <v/>
      </c>
      <c r="X33" s="39" t="str">
        <f t="shared" si="7"/>
        <v>Scenario 3: County Share 42.5%</v>
      </c>
      <c r="AC33" s="53"/>
    </row>
    <row r="34" spans="1:29" x14ac:dyDescent="0.2">
      <c r="A34" s="13" t="s">
        <v>108</v>
      </c>
      <c r="B34" s="14" t="str">
        <f>IFERROR(_xlfn.XLOOKUP($A34,'County Contribution Actual'!B:B,'County Contribution Actual'!C:C),"")</f>
        <v/>
      </c>
      <c r="C34" s="50">
        <f>VLOOKUP(A34,'County Funding Level '!$A$2:$B$102,2,FALSE)</f>
        <v>2163232</v>
      </c>
      <c r="D34" s="31" t="str">
        <f>IFERROR(_xlfn.XLOOKUP($A34,'County Contribution Actual'!B:B,'County Contribution Actual'!D:D),"")</f>
        <v/>
      </c>
      <c r="E34" s="26" t="str">
        <f t="shared" si="0"/>
        <v>4 &amp; 5</v>
      </c>
      <c r="G34" s="58">
        <f t="shared" si="8"/>
        <v>3</v>
      </c>
      <c r="H34" s="31">
        <f t="shared" si="9"/>
        <v>0</v>
      </c>
      <c r="I34" s="50">
        <f t="shared" si="10"/>
        <v>0</v>
      </c>
      <c r="J34" s="50" t="str">
        <f t="shared" si="11"/>
        <v/>
      </c>
      <c r="K34" s="50">
        <f t="shared" si="1"/>
        <v>0</v>
      </c>
      <c r="L34" s="59" t="str">
        <f t="shared" si="12"/>
        <v/>
      </c>
      <c r="M34" s="59" t="str">
        <f t="shared" si="13"/>
        <v/>
      </c>
      <c r="N34" s="59" t="str">
        <f t="shared" si="14"/>
        <v/>
      </c>
      <c r="O34" s="59">
        <f t="shared" si="15"/>
        <v>0.15</v>
      </c>
      <c r="P34" s="59">
        <f t="shared" si="19"/>
        <v>0.05</v>
      </c>
      <c r="Q34" s="59">
        <f t="shared" si="20"/>
        <v>0.8</v>
      </c>
      <c r="R34" s="60" t="str">
        <f t="shared" si="18"/>
        <v>Scenario 4: County Share 5%</v>
      </c>
      <c r="T34" s="31" t="str">
        <f t="shared" si="3"/>
        <v/>
      </c>
      <c r="U34" s="50" t="str">
        <f t="shared" si="4"/>
        <v/>
      </c>
      <c r="V34" s="50" t="str">
        <f t="shared" si="5"/>
        <v/>
      </c>
      <c r="W34" s="50" t="str">
        <f t="shared" si="6"/>
        <v/>
      </c>
      <c r="X34" s="39" t="str">
        <f t="shared" si="7"/>
        <v>Scenario 5: County Share 42.5%</v>
      </c>
      <c r="AC34" s="53"/>
    </row>
    <row r="35" spans="1:29" x14ac:dyDescent="0.2">
      <c r="A35" s="13" t="s">
        <v>109</v>
      </c>
      <c r="B35" s="14" t="str">
        <f>IFERROR(_xlfn.XLOOKUP($A35,'County Contribution Actual'!B:B,'County Contribution Actual'!C:C),"")</f>
        <v/>
      </c>
      <c r="C35" s="50">
        <f>VLOOKUP(A35,'County Funding Level '!$A$2:$B$102,2,FALSE)</f>
        <v>4748349</v>
      </c>
      <c r="D35" s="31" t="str">
        <f>IFERROR(_xlfn.XLOOKUP($A35,'County Contribution Actual'!B:B,'County Contribution Actual'!D:D),"")</f>
        <v/>
      </c>
      <c r="E35" s="26" t="str">
        <f t="shared" si="0"/>
        <v>2 &amp; 3</v>
      </c>
      <c r="G35" s="58">
        <f t="shared" si="8"/>
        <v>2</v>
      </c>
      <c r="H35" s="31">
        <f t="shared" si="9"/>
        <v>0</v>
      </c>
      <c r="I35" s="50">
        <f t="shared" si="10"/>
        <v>0</v>
      </c>
      <c r="J35" s="50" t="str">
        <f t="shared" si="11"/>
        <v/>
      </c>
      <c r="K35" s="50">
        <f t="shared" si="1"/>
        <v>0</v>
      </c>
      <c r="L35" s="59" t="str">
        <f t="shared" si="12"/>
        <v/>
      </c>
      <c r="M35" s="59" t="str">
        <f t="shared" si="13"/>
        <v/>
      </c>
      <c r="N35" s="59" t="str">
        <f t="shared" si="14"/>
        <v/>
      </c>
      <c r="O35" s="59">
        <f t="shared" si="15"/>
        <v>0.15</v>
      </c>
      <c r="P35" s="59">
        <f t="shared" si="19"/>
        <v>0.1</v>
      </c>
      <c r="Q35" s="59">
        <f t="shared" si="20"/>
        <v>0.75</v>
      </c>
      <c r="R35" s="60" t="str">
        <f t="shared" si="18"/>
        <v>Scenario 2: County Share 10%</v>
      </c>
      <c r="T35" s="31" t="str">
        <f t="shared" si="3"/>
        <v/>
      </c>
      <c r="U35" s="50" t="str">
        <f t="shared" si="4"/>
        <v/>
      </c>
      <c r="V35" s="50" t="str">
        <f t="shared" si="5"/>
        <v/>
      </c>
      <c r="W35" s="50" t="str">
        <f t="shared" si="6"/>
        <v/>
      </c>
      <c r="X35" s="39" t="str">
        <f t="shared" si="7"/>
        <v>Scenario 3: County Share 42.5%</v>
      </c>
      <c r="AC35" s="53"/>
    </row>
    <row r="36" spans="1:29" x14ac:dyDescent="0.2">
      <c r="A36" s="13" t="s">
        <v>110</v>
      </c>
      <c r="B36" s="14" t="str">
        <f>IFERROR(_xlfn.XLOOKUP($A36,'County Contribution Actual'!B:B,'County Contribution Actual'!C:C),"")</f>
        <v/>
      </c>
      <c r="C36" s="50">
        <f>VLOOKUP(A36,'County Funding Level '!$A$2:$B$102,2,FALSE)</f>
        <v>5283864</v>
      </c>
      <c r="D36" s="31" t="str">
        <f>IFERROR(_xlfn.XLOOKUP($A36,'County Contribution Actual'!B:B,'County Contribution Actual'!D:D),"")</f>
        <v/>
      </c>
      <c r="E36" s="26" t="str">
        <f t="shared" ref="E36:E67" si="21">_xlfn.TEXTJOIN(" &amp; ",,IF(C36&gt;=$AB$5,$AA$5,""),IF(MEDIAN($AB$6,$AC$6,C36)=C36,$AA$6,""),IF(MEDIAN($AB$7,$AC$7,C36)=C36,$AA$7,""),IF(MEDIAN($AB$8,$AC$8,C36)=C36,$AA$8,""),IF(MEDIAN($AB$9,$AC$9,C36)=C36,$AA$9,""))</f>
        <v>2 &amp; 3</v>
      </c>
      <c r="G36" s="58">
        <f t="shared" si="8"/>
        <v>2</v>
      </c>
      <c r="H36" s="31">
        <f t="shared" si="9"/>
        <v>0</v>
      </c>
      <c r="I36" s="50">
        <f t="shared" si="10"/>
        <v>0</v>
      </c>
      <c r="J36" s="50" t="str">
        <f t="shared" si="11"/>
        <v/>
      </c>
      <c r="K36" s="50">
        <f t="shared" ref="K36:K67" si="22">IFERROR(MIN(J36/P36*Q36,$AE$24),0)</f>
        <v>0</v>
      </c>
      <c r="L36" s="59" t="str">
        <f t="shared" si="12"/>
        <v/>
      </c>
      <c r="M36" s="59" t="str">
        <f t="shared" si="13"/>
        <v/>
      </c>
      <c r="N36" s="59" t="str">
        <f t="shared" si="14"/>
        <v/>
      </c>
      <c r="O36" s="59">
        <f t="shared" si="15"/>
        <v>0.15</v>
      </c>
      <c r="P36" s="59">
        <f t="shared" si="19"/>
        <v>0.1</v>
      </c>
      <c r="Q36" s="59">
        <f t="shared" si="20"/>
        <v>0.75</v>
      </c>
      <c r="R36" s="60" t="str">
        <f t="shared" si="18"/>
        <v>Scenario 2: County Share 10%</v>
      </c>
      <c r="T36" s="31" t="str">
        <f t="shared" ref="T36:T67" si="23">IFERROR(IF(E36="1","",$D36/IF($E36="4 &amp; 5",AC$19,IF($E36="2 &amp; 3",AC$17,_xlfn.XLOOKUP($E36,$Z$15:$Z$19,$AC$15:$AC$19)))),"")</f>
        <v/>
      </c>
      <c r="U36" s="50" t="str">
        <f t="shared" ref="U36:U67" si="24">IFERROR($T36*IF($E36="4 &amp; 5",AB$19,IF($E36="2 &amp; 3",AB$17,_xlfn.XLOOKUP($E36,$Z$15:$Z$19,AB$15:AB$19))),"")</f>
        <v/>
      </c>
      <c r="V36" s="50" t="str">
        <f t="shared" ref="V36:V67" si="25">IFERROR($T36*IF($E36="4 &amp; 5",AC$19,IF($E36="2 &amp; 3",AC$17,_xlfn.XLOOKUP($E36,$Z$15:$Z$19,AC$15:AC$19))),"")</f>
        <v/>
      </c>
      <c r="W36" s="50" t="str">
        <f t="shared" ref="W36:W67" si="26">IFERROR($T36*IF($E36="4 &amp; 5",AD$19,IF($E36="2 &amp; 3",AD$17,_xlfn.XLOOKUP($E36,$Z$15:$Z$19,AD$15:AD$19))),"")</f>
        <v/>
      </c>
      <c r="X36" s="39" t="str">
        <f t="shared" ref="X36:X67" si="27">IF(E36="1","",IF($E36="4 &amp; 5",$AE$19,IF($E36="2 &amp; 3",$AE$17,_xlfn.XLOOKUP($E36,$Z$15:$Z$19,$AE$15:$AE$19))))</f>
        <v>Scenario 3: County Share 42.5%</v>
      </c>
    </row>
    <row r="37" spans="1:29" x14ac:dyDescent="0.2">
      <c r="A37" s="13" t="s">
        <v>111</v>
      </c>
      <c r="B37" s="14" t="str">
        <f>IFERROR(_xlfn.XLOOKUP($A37,'County Contribution Actual'!B:B,'County Contribution Actual'!C:C),"")</f>
        <v/>
      </c>
      <c r="C37" s="50">
        <f>VLOOKUP(A37,'County Funding Level '!$A$2:$B$102,2,FALSE)</f>
        <v>3680233</v>
      </c>
      <c r="D37" s="31" t="str">
        <f>IFERROR(_xlfn.XLOOKUP($A37,'County Contribution Actual'!B:B,'County Contribution Actual'!D:D),"")</f>
        <v/>
      </c>
      <c r="E37" s="26" t="str">
        <f t="shared" si="21"/>
        <v>4 &amp; 5</v>
      </c>
      <c r="G37" s="58">
        <f t="shared" si="8"/>
        <v>3</v>
      </c>
      <c r="H37" s="31">
        <f t="shared" si="9"/>
        <v>0</v>
      </c>
      <c r="I37" s="50">
        <f t="shared" si="10"/>
        <v>0</v>
      </c>
      <c r="J37" s="50" t="str">
        <f t="shared" si="11"/>
        <v/>
      </c>
      <c r="K37" s="50">
        <f t="shared" si="22"/>
        <v>0</v>
      </c>
      <c r="L37" s="59" t="str">
        <f t="shared" si="12"/>
        <v/>
      </c>
      <c r="M37" s="59" t="str">
        <f t="shared" si="13"/>
        <v/>
      </c>
      <c r="N37" s="59" t="str">
        <f t="shared" si="14"/>
        <v/>
      </c>
      <c r="O37" s="59">
        <f t="shared" si="15"/>
        <v>0.15</v>
      </c>
      <c r="P37" s="59">
        <f t="shared" si="19"/>
        <v>0.05</v>
      </c>
      <c r="Q37" s="59">
        <f t="shared" si="20"/>
        <v>0.8</v>
      </c>
      <c r="R37" s="60" t="str">
        <f t="shared" si="18"/>
        <v>Scenario 4: County Share 5%</v>
      </c>
      <c r="T37" s="31" t="str">
        <f t="shared" si="23"/>
        <v/>
      </c>
      <c r="U37" s="50" t="str">
        <f t="shared" si="24"/>
        <v/>
      </c>
      <c r="V37" s="50" t="str">
        <f t="shared" si="25"/>
        <v/>
      </c>
      <c r="W37" s="50" t="str">
        <f t="shared" si="26"/>
        <v/>
      </c>
      <c r="X37" s="39" t="str">
        <f t="shared" si="27"/>
        <v>Scenario 5: County Share 42.5%</v>
      </c>
    </row>
    <row r="38" spans="1:29" x14ac:dyDescent="0.2">
      <c r="A38" s="13" t="s">
        <v>112</v>
      </c>
      <c r="B38" s="14" t="str">
        <f>IFERROR(_xlfn.XLOOKUP($A38,'County Contribution Actual'!B:B,'County Contribution Actual'!C:C),"")</f>
        <v/>
      </c>
      <c r="C38" s="50">
        <f>VLOOKUP(A38,'County Funding Level '!$A$2:$B$102,2,FALSE)</f>
        <v>6355865</v>
      </c>
      <c r="D38" s="31" t="str">
        <f>IFERROR(_xlfn.XLOOKUP($A38,'County Contribution Actual'!B:B,'County Contribution Actual'!D:D),"")</f>
        <v/>
      </c>
      <c r="E38" s="26" t="str">
        <f t="shared" si="21"/>
        <v>2 &amp; 3</v>
      </c>
      <c r="G38" s="58">
        <f t="shared" si="8"/>
        <v>2</v>
      </c>
      <c r="H38" s="31">
        <f t="shared" si="9"/>
        <v>0</v>
      </c>
      <c r="I38" s="50">
        <f t="shared" si="10"/>
        <v>0</v>
      </c>
      <c r="J38" s="50" t="str">
        <f t="shared" si="11"/>
        <v/>
      </c>
      <c r="K38" s="50">
        <f t="shared" si="22"/>
        <v>0</v>
      </c>
      <c r="L38" s="59" t="str">
        <f t="shared" si="12"/>
        <v/>
      </c>
      <c r="M38" s="59" t="str">
        <f t="shared" si="13"/>
        <v/>
      </c>
      <c r="N38" s="59" t="str">
        <f t="shared" si="14"/>
        <v/>
      </c>
      <c r="O38" s="59">
        <f t="shared" si="15"/>
        <v>0.15</v>
      </c>
      <c r="P38" s="59">
        <f t="shared" si="19"/>
        <v>0.1</v>
      </c>
      <c r="Q38" s="59">
        <f t="shared" si="20"/>
        <v>0.75</v>
      </c>
      <c r="R38" s="60" t="str">
        <f t="shared" si="18"/>
        <v>Scenario 2: County Share 10%</v>
      </c>
      <c r="T38" s="31" t="str">
        <f t="shared" si="23"/>
        <v/>
      </c>
      <c r="U38" s="50" t="str">
        <f t="shared" si="24"/>
        <v/>
      </c>
      <c r="V38" s="50" t="str">
        <f t="shared" si="25"/>
        <v/>
      </c>
      <c r="W38" s="50" t="str">
        <f t="shared" si="26"/>
        <v/>
      </c>
      <c r="X38" s="39" t="str">
        <f t="shared" si="27"/>
        <v>Scenario 3: County Share 42.5%</v>
      </c>
    </row>
    <row r="39" spans="1:29" x14ac:dyDescent="0.2">
      <c r="A39" s="13" t="s">
        <v>113</v>
      </c>
      <c r="B39" s="14" t="str">
        <f>IFERROR(_xlfn.XLOOKUP($A39,'County Contribution Actual'!B:B,'County Contribution Actual'!C:C),"")</f>
        <v/>
      </c>
      <c r="C39" s="50">
        <f>VLOOKUP(A39,'County Funding Level '!$A$2:$B$102,2,FALSE)</f>
        <v>27741111</v>
      </c>
      <c r="D39" s="31" t="str">
        <f>IFERROR(_xlfn.XLOOKUP($A39,'County Contribution Actual'!B:B,'County Contribution Actual'!D:D),"")</f>
        <v/>
      </c>
      <c r="E39" s="26" t="str">
        <f t="shared" si="21"/>
        <v>1</v>
      </c>
      <c r="G39" s="58">
        <f t="shared" si="8"/>
        <v>1</v>
      </c>
      <c r="H39" s="31">
        <f t="shared" si="9"/>
        <v>0</v>
      </c>
      <c r="I39" s="50">
        <f t="shared" si="10"/>
        <v>0</v>
      </c>
      <c r="J39" s="50" t="str">
        <f t="shared" si="11"/>
        <v/>
      </c>
      <c r="K39" s="50">
        <f t="shared" si="22"/>
        <v>0</v>
      </c>
      <c r="L39" s="59" t="str">
        <f t="shared" si="12"/>
        <v/>
      </c>
      <c r="M39" s="59" t="str">
        <f t="shared" si="13"/>
        <v/>
      </c>
      <c r="N39" s="59" t="str">
        <f t="shared" si="14"/>
        <v/>
      </c>
      <c r="O39" s="59">
        <f t="shared" si="15"/>
        <v>0.3</v>
      </c>
      <c r="P39" s="59">
        <f t="shared" si="19"/>
        <v>0.35</v>
      </c>
      <c r="Q39" s="59">
        <f t="shared" si="20"/>
        <v>0.35</v>
      </c>
      <c r="R39" s="60" t="str">
        <f t="shared" si="18"/>
        <v>Scenario 1: County Share 35%</v>
      </c>
      <c r="T39" s="31" t="str">
        <f t="shared" si="23"/>
        <v/>
      </c>
      <c r="U39" s="50" t="str">
        <f t="shared" si="24"/>
        <v/>
      </c>
      <c r="V39" s="50" t="str">
        <f t="shared" si="25"/>
        <v/>
      </c>
      <c r="W39" s="50" t="str">
        <f t="shared" si="26"/>
        <v/>
      </c>
      <c r="X39" s="39" t="str">
        <f t="shared" si="27"/>
        <v/>
      </c>
    </row>
    <row r="40" spans="1:29" x14ac:dyDescent="0.2">
      <c r="A40" s="13" t="s">
        <v>114</v>
      </c>
      <c r="B40" s="14" t="str">
        <f>IFERROR(_xlfn.XLOOKUP($A40,'County Contribution Actual'!B:B,'County Contribution Actual'!C:C),"")</f>
        <v/>
      </c>
      <c r="C40" s="50">
        <f>VLOOKUP(A40,'County Funding Level '!$A$2:$B$102,2,FALSE)</f>
        <v>2110787</v>
      </c>
      <c r="D40" s="31" t="str">
        <f>IFERROR(_xlfn.XLOOKUP($A40,'County Contribution Actual'!B:B,'County Contribution Actual'!D:D),"")</f>
        <v/>
      </c>
      <c r="E40" s="26" t="str">
        <f t="shared" si="21"/>
        <v>4 &amp; 5</v>
      </c>
      <c r="G40" s="58">
        <f t="shared" si="8"/>
        <v>3</v>
      </c>
      <c r="H40" s="31">
        <f t="shared" si="9"/>
        <v>0</v>
      </c>
      <c r="I40" s="50">
        <f t="shared" si="10"/>
        <v>0</v>
      </c>
      <c r="J40" s="50" t="str">
        <f t="shared" si="11"/>
        <v/>
      </c>
      <c r="K40" s="50">
        <f t="shared" si="22"/>
        <v>0</v>
      </c>
      <c r="L40" s="59" t="str">
        <f t="shared" si="12"/>
        <v/>
      </c>
      <c r="M40" s="59" t="str">
        <f t="shared" si="13"/>
        <v/>
      </c>
      <c r="N40" s="59" t="str">
        <f t="shared" si="14"/>
        <v/>
      </c>
      <c r="O40" s="59">
        <f t="shared" si="15"/>
        <v>0.15</v>
      </c>
      <c r="P40" s="59">
        <f t="shared" si="19"/>
        <v>0.05</v>
      </c>
      <c r="Q40" s="59">
        <f t="shared" si="20"/>
        <v>0.8</v>
      </c>
      <c r="R40" s="60" t="str">
        <f t="shared" si="18"/>
        <v>Scenario 4: County Share 5%</v>
      </c>
      <c r="T40" s="31" t="str">
        <f t="shared" si="23"/>
        <v/>
      </c>
      <c r="U40" s="50" t="str">
        <f t="shared" si="24"/>
        <v/>
      </c>
      <c r="V40" s="50" t="str">
        <f t="shared" si="25"/>
        <v/>
      </c>
      <c r="W40" s="50" t="str">
        <f t="shared" si="26"/>
        <v/>
      </c>
      <c r="X40" s="39" t="str">
        <f t="shared" si="27"/>
        <v>Scenario 5: County Share 42.5%</v>
      </c>
    </row>
    <row r="41" spans="1:29" x14ac:dyDescent="0.2">
      <c r="A41" s="13" t="s">
        <v>115</v>
      </c>
      <c r="B41" s="14" t="str">
        <f>IFERROR(_xlfn.XLOOKUP($A41,'County Contribution Actual'!B:B,'County Contribution Actual'!C:C),"")</f>
        <v/>
      </c>
      <c r="C41" s="50">
        <f>VLOOKUP(A41,'County Funding Level '!$A$2:$B$102,2,FALSE)</f>
        <v>13494316</v>
      </c>
      <c r="D41" s="31" t="str">
        <f>IFERROR(_xlfn.XLOOKUP($A41,'County Contribution Actual'!B:B,'County Contribution Actual'!D:D),"")</f>
        <v/>
      </c>
      <c r="E41" s="26" t="str">
        <f t="shared" si="21"/>
        <v>1</v>
      </c>
      <c r="G41" s="58">
        <f t="shared" si="8"/>
        <v>1</v>
      </c>
      <c r="H41" s="31">
        <f t="shared" si="9"/>
        <v>0</v>
      </c>
      <c r="I41" s="50">
        <f t="shared" si="10"/>
        <v>0</v>
      </c>
      <c r="J41" s="50" t="str">
        <f t="shared" si="11"/>
        <v/>
      </c>
      <c r="K41" s="50">
        <f t="shared" si="22"/>
        <v>0</v>
      </c>
      <c r="L41" s="59" t="str">
        <f t="shared" si="12"/>
        <v/>
      </c>
      <c r="M41" s="59" t="str">
        <f t="shared" si="13"/>
        <v/>
      </c>
      <c r="N41" s="59" t="str">
        <f t="shared" si="14"/>
        <v/>
      </c>
      <c r="O41" s="59">
        <f t="shared" si="15"/>
        <v>0.3</v>
      </c>
      <c r="P41" s="59">
        <f t="shared" si="19"/>
        <v>0.35</v>
      </c>
      <c r="Q41" s="59">
        <f t="shared" si="20"/>
        <v>0.35</v>
      </c>
      <c r="R41" s="60" t="str">
        <f t="shared" si="18"/>
        <v>Scenario 1: County Share 35%</v>
      </c>
      <c r="T41" s="31" t="str">
        <f t="shared" si="23"/>
        <v/>
      </c>
      <c r="U41" s="50" t="str">
        <f t="shared" si="24"/>
        <v/>
      </c>
      <c r="V41" s="50" t="str">
        <f t="shared" si="25"/>
        <v/>
      </c>
      <c r="W41" s="50" t="str">
        <f t="shared" si="26"/>
        <v/>
      </c>
      <c r="X41" s="39" t="str">
        <f t="shared" si="27"/>
        <v/>
      </c>
    </row>
    <row r="42" spans="1:29" x14ac:dyDescent="0.2">
      <c r="A42" s="13" t="s">
        <v>116</v>
      </c>
      <c r="B42" s="14" t="str">
        <f>IFERROR(_xlfn.XLOOKUP($A42,'County Contribution Actual'!B:B,'County Contribution Actual'!C:C),"")</f>
        <v/>
      </c>
      <c r="C42" s="50">
        <f>VLOOKUP(A42,'County Funding Level '!$A$2:$B$102,2,FALSE)</f>
        <v>30990911</v>
      </c>
      <c r="D42" s="31" t="str">
        <f>IFERROR(_xlfn.XLOOKUP($A42,'County Contribution Actual'!B:B,'County Contribution Actual'!D:D),"")</f>
        <v/>
      </c>
      <c r="E42" s="26" t="str">
        <f t="shared" si="21"/>
        <v>1</v>
      </c>
      <c r="G42" s="58">
        <f t="shared" si="8"/>
        <v>1</v>
      </c>
      <c r="H42" s="31">
        <f t="shared" si="9"/>
        <v>0</v>
      </c>
      <c r="I42" s="50">
        <f t="shared" si="10"/>
        <v>0</v>
      </c>
      <c r="J42" s="50" t="str">
        <f t="shared" si="11"/>
        <v/>
      </c>
      <c r="K42" s="50">
        <f t="shared" si="22"/>
        <v>0</v>
      </c>
      <c r="L42" s="59" t="str">
        <f t="shared" si="12"/>
        <v/>
      </c>
      <c r="M42" s="59" t="str">
        <f t="shared" si="13"/>
        <v/>
      </c>
      <c r="N42" s="59" t="str">
        <f t="shared" si="14"/>
        <v/>
      </c>
      <c r="O42" s="59">
        <f t="shared" si="15"/>
        <v>0.3</v>
      </c>
      <c r="P42" s="59">
        <f t="shared" si="19"/>
        <v>0.35</v>
      </c>
      <c r="Q42" s="59">
        <f t="shared" si="20"/>
        <v>0.35</v>
      </c>
      <c r="R42" s="60" t="str">
        <f t="shared" si="18"/>
        <v>Scenario 1: County Share 35%</v>
      </c>
      <c r="T42" s="31" t="str">
        <f t="shared" si="23"/>
        <v/>
      </c>
      <c r="U42" s="50" t="str">
        <f t="shared" si="24"/>
        <v/>
      </c>
      <c r="V42" s="50" t="str">
        <f t="shared" si="25"/>
        <v/>
      </c>
      <c r="W42" s="50" t="str">
        <f t="shared" si="26"/>
        <v/>
      </c>
      <c r="X42" s="39" t="str">
        <f t="shared" si="27"/>
        <v/>
      </c>
    </row>
    <row r="43" spans="1:29" x14ac:dyDescent="0.2">
      <c r="A43" s="13" t="s">
        <v>117</v>
      </c>
      <c r="B43" s="14" t="str">
        <f>IFERROR(_xlfn.XLOOKUP($A43,'County Contribution Actual'!B:B,'County Contribution Actual'!C:C),"")</f>
        <v>yes</v>
      </c>
      <c r="C43" s="50">
        <f>VLOOKUP(A43,'County Funding Level '!$A$2:$B$102,2,FALSE)</f>
        <v>14464924</v>
      </c>
      <c r="D43" s="31">
        <f>IFERROR(_xlfn.XLOOKUP($A43,'County Contribution Actual'!B:B,'County Contribution Actual'!D:D),"")</f>
        <v>2500000</v>
      </c>
      <c r="E43" s="26" t="str">
        <f t="shared" si="21"/>
        <v>1</v>
      </c>
      <c r="G43" s="58">
        <f t="shared" si="8"/>
        <v>1</v>
      </c>
      <c r="H43" s="31">
        <f t="shared" si="9"/>
        <v>7142857.1428571437</v>
      </c>
      <c r="I43" s="50">
        <f t="shared" si="10"/>
        <v>2142857.1428571437</v>
      </c>
      <c r="J43" s="50">
        <f t="shared" si="11"/>
        <v>2500000</v>
      </c>
      <c r="K43" s="50">
        <f t="shared" si="22"/>
        <v>2500000</v>
      </c>
      <c r="L43" s="59">
        <f t="shared" si="12"/>
        <v>0.3000000000000001</v>
      </c>
      <c r="M43" s="59">
        <f t="shared" si="13"/>
        <v>0.35</v>
      </c>
      <c r="N43" s="59">
        <f t="shared" si="14"/>
        <v>0.35</v>
      </c>
      <c r="O43" s="59">
        <f t="shared" si="15"/>
        <v>0.3</v>
      </c>
      <c r="P43" s="59">
        <f t="shared" si="19"/>
        <v>0.35</v>
      </c>
      <c r="Q43" s="59">
        <f t="shared" si="20"/>
        <v>0.35</v>
      </c>
      <c r="R43" s="60" t="str">
        <f t="shared" si="18"/>
        <v>Scenario 1: County Share 35%</v>
      </c>
      <c r="T43" s="31" t="str">
        <f t="shared" si="23"/>
        <v/>
      </c>
      <c r="U43" s="50" t="str">
        <f t="shared" si="24"/>
        <v/>
      </c>
      <c r="V43" s="50" t="str">
        <f t="shared" si="25"/>
        <v/>
      </c>
      <c r="W43" s="50" t="str">
        <f t="shared" si="26"/>
        <v/>
      </c>
      <c r="X43" s="39" t="str">
        <f t="shared" si="27"/>
        <v/>
      </c>
    </row>
    <row r="44" spans="1:29" x14ac:dyDescent="0.2">
      <c r="A44" s="13" t="s">
        <v>118</v>
      </c>
      <c r="B44" s="14" t="str">
        <f>IFERROR(_xlfn.XLOOKUP($A44,'County Contribution Actual'!B:B,'County Contribution Actual'!C:C),"")</f>
        <v/>
      </c>
      <c r="C44" s="50">
        <f>VLOOKUP(A44,'County Funding Level '!$A$2:$B$102,2,FALSE)</f>
        <v>5557546</v>
      </c>
      <c r="D44" s="31" t="str">
        <f>IFERROR(_xlfn.XLOOKUP($A44,'County Contribution Actual'!B:B,'County Contribution Actual'!D:D),"")</f>
        <v/>
      </c>
      <c r="E44" s="26" t="str">
        <f t="shared" si="21"/>
        <v>2 &amp; 3</v>
      </c>
      <c r="G44" s="58">
        <f t="shared" si="8"/>
        <v>2</v>
      </c>
      <c r="H44" s="31">
        <f t="shared" si="9"/>
        <v>0</v>
      </c>
      <c r="I44" s="50">
        <f t="shared" si="10"/>
        <v>0</v>
      </c>
      <c r="J44" s="50" t="str">
        <f t="shared" si="11"/>
        <v/>
      </c>
      <c r="K44" s="50">
        <f t="shared" si="22"/>
        <v>0</v>
      </c>
      <c r="L44" s="59" t="str">
        <f t="shared" si="12"/>
        <v/>
      </c>
      <c r="M44" s="59" t="str">
        <f t="shared" si="13"/>
        <v/>
      </c>
      <c r="N44" s="59" t="str">
        <f t="shared" si="14"/>
        <v/>
      </c>
      <c r="O44" s="59">
        <f t="shared" si="15"/>
        <v>0.15</v>
      </c>
      <c r="P44" s="59">
        <f t="shared" si="19"/>
        <v>0.1</v>
      </c>
      <c r="Q44" s="59">
        <f t="shared" si="20"/>
        <v>0.75</v>
      </c>
      <c r="R44" s="60" t="str">
        <f t="shared" si="18"/>
        <v>Scenario 2: County Share 10%</v>
      </c>
      <c r="T44" s="31" t="str">
        <f t="shared" si="23"/>
        <v/>
      </c>
      <c r="U44" s="50" t="str">
        <f t="shared" si="24"/>
        <v/>
      </c>
      <c r="V44" s="50" t="str">
        <f t="shared" si="25"/>
        <v/>
      </c>
      <c r="W44" s="50" t="str">
        <f t="shared" si="26"/>
        <v/>
      </c>
      <c r="X44" s="39" t="str">
        <f t="shared" si="27"/>
        <v>Scenario 3: County Share 42.5%</v>
      </c>
    </row>
    <row r="45" spans="1:29" x14ac:dyDescent="0.2">
      <c r="A45" s="13" t="s">
        <v>119</v>
      </c>
      <c r="B45" s="14" t="str">
        <f>IFERROR(_xlfn.XLOOKUP($A45,'County Contribution Actual'!B:B,'County Contribution Actual'!C:C),"")</f>
        <v/>
      </c>
      <c r="C45" s="50">
        <f>VLOOKUP(A45,'County Funding Level '!$A$2:$B$102,2,FALSE)</f>
        <v>2181490</v>
      </c>
      <c r="D45" s="31" t="str">
        <f>IFERROR(_xlfn.XLOOKUP($A45,'County Contribution Actual'!B:B,'County Contribution Actual'!D:D),"")</f>
        <v/>
      </c>
      <c r="E45" s="26" t="str">
        <f t="shared" si="21"/>
        <v>4 &amp; 5</v>
      </c>
      <c r="G45" s="58">
        <f t="shared" si="8"/>
        <v>3</v>
      </c>
      <c r="H45" s="31">
        <f t="shared" si="9"/>
        <v>0</v>
      </c>
      <c r="I45" s="50">
        <f t="shared" si="10"/>
        <v>0</v>
      </c>
      <c r="J45" s="50" t="str">
        <f t="shared" si="11"/>
        <v/>
      </c>
      <c r="K45" s="50">
        <f t="shared" si="22"/>
        <v>0</v>
      </c>
      <c r="L45" s="59" t="str">
        <f t="shared" si="12"/>
        <v/>
      </c>
      <c r="M45" s="59" t="str">
        <f t="shared" si="13"/>
        <v/>
      </c>
      <c r="N45" s="59" t="str">
        <f t="shared" si="14"/>
        <v/>
      </c>
      <c r="O45" s="59">
        <f t="shared" si="15"/>
        <v>0.15</v>
      </c>
      <c r="P45" s="59">
        <f t="shared" si="19"/>
        <v>0.05</v>
      </c>
      <c r="Q45" s="59">
        <f t="shared" si="20"/>
        <v>0.8</v>
      </c>
      <c r="R45" s="60" t="str">
        <f t="shared" si="18"/>
        <v>Scenario 4: County Share 5%</v>
      </c>
      <c r="T45" s="31" t="str">
        <f t="shared" si="23"/>
        <v/>
      </c>
      <c r="U45" s="50" t="str">
        <f t="shared" si="24"/>
        <v/>
      </c>
      <c r="V45" s="50" t="str">
        <f t="shared" si="25"/>
        <v/>
      </c>
      <c r="W45" s="50" t="str">
        <f t="shared" si="26"/>
        <v/>
      </c>
      <c r="X45" s="39" t="str">
        <f t="shared" si="27"/>
        <v>Scenario 5: County Share 42.5%</v>
      </c>
    </row>
    <row r="46" spans="1:29" x14ac:dyDescent="0.2">
      <c r="A46" s="13" t="s">
        <v>120</v>
      </c>
      <c r="B46" s="14" t="str">
        <f>IFERROR(_xlfn.XLOOKUP($A46,'County Contribution Actual'!B:B,'County Contribution Actual'!C:C),"")</f>
        <v/>
      </c>
      <c r="C46" s="50">
        <f>VLOOKUP(A46,'County Funding Level '!$A$2:$B$102,2,FALSE)</f>
        <v>10781778</v>
      </c>
      <c r="D46" s="31" t="str">
        <f>IFERROR(_xlfn.XLOOKUP($A46,'County Contribution Actual'!B:B,'County Contribution Actual'!D:D),"")</f>
        <v/>
      </c>
      <c r="E46" s="26" t="str">
        <f t="shared" si="21"/>
        <v>1</v>
      </c>
      <c r="G46" s="58">
        <f t="shared" si="8"/>
        <v>1</v>
      </c>
      <c r="H46" s="31">
        <f t="shared" si="9"/>
        <v>0</v>
      </c>
      <c r="I46" s="50">
        <f t="shared" si="10"/>
        <v>0</v>
      </c>
      <c r="J46" s="50" t="str">
        <f t="shared" si="11"/>
        <v/>
      </c>
      <c r="K46" s="50">
        <f t="shared" si="22"/>
        <v>0</v>
      </c>
      <c r="L46" s="59" t="str">
        <f t="shared" si="12"/>
        <v/>
      </c>
      <c r="M46" s="59" t="str">
        <f t="shared" si="13"/>
        <v/>
      </c>
      <c r="N46" s="59" t="str">
        <f t="shared" si="14"/>
        <v/>
      </c>
      <c r="O46" s="59">
        <f t="shared" si="15"/>
        <v>0.3</v>
      </c>
      <c r="P46" s="59">
        <f t="shared" si="19"/>
        <v>0.35</v>
      </c>
      <c r="Q46" s="59">
        <f t="shared" si="20"/>
        <v>0.35</v>
      </c>
      <c r="R46" s="60" t="str">
        <f t="shared" si="18"/>
        <v>Scenario 1: County Share 35%</v>
      </c>
      <c r="T46" s="31" t="str">
        <f t="shared" si="23"/>
        <v/>
      </c>
      <c r="U46" s="50" t="str">
        <f t="shared" si="24"/>
        <v/>
      </c>
      <c r="V46" s="50" t="str">
        <f t="shared" si="25"/>
        <v/>
      </c>
      <c r="W46" s="50" t="str">
        <f t="shared" si="26"/>
        <v/>
      </c>
      <c r="X46" s="39" t="str">
        <f t="shared" si="27"/>
        <v/>
      </c>
    </row>
    <row r="47" spans="1:29" x14ac:dyDescent="0.2">
      <c r="A47" s="13" t="s">
        <v>121</v>
      </c>
      <c r="B47" s="14" t="str">
        <f>IFERROR(_xlfn.XLOOKUP($A47,'County Contribution Actual'!B:B,'County Contribution Actual'!C:C),"")</f>
        <v/>
      </c>
      <c r="C47" s="50">
        <f>VLOOKUP(A47,'County Funding Level '!$A$2:$B$102,2,FALSE)</f>
        <v>19839303</v>
      </c>
      <c r="D47" s="31" t="str">
        <f>IFERROR(_xlfn.XLOOKUP($A47,'County Contribution Actual'!B:B,'County Contribution Actual'!D:D),"")</f>
        <v/>
      </c>
      <c r="E47" s="26" t="str">
        <f t="shared" si="21"/>
        <v>1</v>
      </c>
      <c r="G47" s="58">
        <f t="shared" si="8"/>
        <v>1</v>
      </c>
      <c r="H47" s="31">
        <f t="shared" si="9"/>
        <v>0</v>
      </c>
      <c r="I47" s="50">
        <f t="shared" si="10"/>
        <v>0</v>
      </c>
      <c r="J47" s="50" t="str">
        <f t="shared" si="11"/>
        <v/>
      </c>
      <c r="K47" s="50">
        <f t="shared" si="22"/>
        <v>0</v>
      </c>
      <c r="L47" s="59" t="str">
        <f t="shared" si="12"/>
        <v/>
      </c>
      <c r="M47" s="59" t="str">
        <f t="shared" si="13"/>
        <v/>
      </c>
      <c r="N47" s="59" t="str">
        <f t="shared" si="14"/>
        <v/>
      </c>
      <c r="O47" s="59">
        <f t="shared" si="15"/>
        <v>0.3</v>
      </c>
      <c r="P47" s="59">
        <f t="shared" si="19"/>
        <v>0.35</v>
      </c>
      <c r="Q47" s="59">
        <f t="shared" si="20"/>
        <v>0.35</v>
      </c>
      <c r="R47" s="60" t="str">
        <f t="shared" si="18"/>
        <v>Scenario 1: County Share 35%</v>
      </c>
      <c r="T47" s="31" t="str">
        <f t="shared" si="23"/>
        <v/>
      </c>
      <c r="U47" s="50" t="str">
        <f t="shared" si="24"/>
        <v/>
      </c>
      <c r="V47" s="50" t="str">
        <f t="shared" si="25"/>
        <v/>
      </c>
      <c r="W47" s="50" t="str">
        <f t="shared" si="26"/>
        <v/>
      </c>
      <c r="X47" s="39" t="str">
        <f t="shared" si="27"/>
        <v/>
      </c>
    </row>
    <row r="48" spans="1:29" x14ac:dyDescent="0.2">
      <c r="A48" s="13" t="s">
        <v>122</v>
      </c>
      <c r="B48" s="14" t="str">
        <f>IFERROR(_xlfn.XLOOKUP($A48,'County Contribution Actual'!B:B,'County Contribution Actual'!C:C),"")</f>
        <v>yes</v>
      </c>
      <c r="C48" s="50">
        <f>VLOOKUP(A48,'County Funding Level '!$A$2:$B$102,2,FALSE)</f>
        <v>65168690</v>
      </c>
      <c r="D48" s="31">
        <f>IFERROR(_xlfn.XLOOKUP($A48,'County Contribution Actual'!B:B,'County Contribution Actual'!D:D),"")</f>
        <v>2800000</v>
      </c>
      <c r="E48" s="26" t="str">
        <f t="shared" si="21"/>
        <v>1</v>
      </c>
      <c r="G48" s="58">
        <f t="shared" si="8"/>
        <v>1</v>
      </c>
      <c r="H48" s="31">
        <f t="shared" si="9"/>
        <v>8000000.0000000009</v>
      </c>
      <c r="I48" s="50">
        <f t="shared" si="10"/>
        <v>2400000.0000000009</v>
      </c>
      <c r="J48" s="50">
        <f t="shared" si="11"/>
        <v>2800000</v>
      </c>
      <c r="K48" s="50">
        <f t="shared" si="22"/>
        <v>2800000</v>
      </c>
      <c r="L48" s="59">
        <f t="shared" si="12"/>
        <v>0.3000000000000001</v>
      </c>
      <c r="M48" s="59">
        <f t="shared" si="13"/>
        <v>0.35</v>
      </c>
      <c r="N48" s="59">
        <f t="shared" si="14"/>
        <v>0.35</v>
      </c>
      <c r="O48" s="59">
        <f t="shared" si="15"/>
        <v>0.3</v>
      </c>
      <c r="P48" s="59">
        <f t="shared" si="19"/>
        <v>0.35</v>
      </c>
      <c r="Q48" s="59">
        <f t="shared" si="20"/>
        <v>0.35</v>
      </c>
      <c r="R48" s="60" t="str">
        <f t="shared" si="18"/>
        <v>Scenario 1: County Share 35%</v>
      </c>
      <c r="T48" s="31" t="str">
        <f t="shared" si="23"/>
        <v/>
      </c>
      <c r="U48" s="50" t="str">
        <f t="shared" si="24"/>
        <v/>
      </c>
      <c r="V48" s="50" t="str">
        <f t="shared" si="25"/>
        <v/>
      </c>
      <c r="W48" s="50" t="str">
        <f t="shared" si="26"/>
        <v/>
      </c>
      <c r="X48" s="39" t="str">
        <f t="shared" si="27"/>
        <v/>
      </c>
    </row>
    <row r="49" spans="1:24" x14ac:dyDescent="0.2">
      <c r="A49" s="13" t="s">
        <v>123</v>
      </c>
      <c r="B49" s="14" t="str">
        <f>IFERROR(_xlfn.XLOOKUP($A49,'County Contribution Actual'!B:B,'County Contribution Actual'!C:C),"")</f>
        <v/>
      </c>
      <c r="C49" s="50">
        <f>VLOOKUP(A49,'County Funding Level '!$A$2:$B$102,2,FALSE)</f>
        <v>5392637</v>
      </c>
      <c r="D49" s="31" t="str">
        <f>IFERROR(_xlfn.XLOOKUP($A49,'County Contribution Actual'!B:B,'County Contribution Actual'!D:D),"")</f>
        <v/>
      </c>
      <c r="E49" s="26" t="str">
        <f t="shared" si="21"/>
        <v>2 &amp; 3</v>
      </c>
      <c r="G49" s="58">
        <f t="shared" si="8"/>
        <v>2</v>
      </c>
      <c r="H49" s="31">
        <f t="shared" si="9"/>
        <v>0</v>
      </c>
      <c r="I49" s="50">
        <f t="shared" si="10"/>
        <v>0</v>
      </c>
      <c r="J49" s="50" t="str">
        <f t="shared" si="11"/>
        <v/>
      </c>
      <c r="K49" s="50">
        <f t="shared" si="22"/>
        <v>0</v>
      </c>
      <c r="L49" s="59" t="str">
        <f t="shared" si="12"/>
        <v/>
      </c>
      <c r="M49" s="59" t="str">
        <f t="shared" si="13"/>
        <v/>
      </c>
      <c r="N49" s="59" t="str">
        <f t="shared" si="14"/>
        <v/>
      </c>
      <c r="O49" s="59">
        <f t="shared" si="15"/>
        <v>0.15</v>
      </c>
      <c r="P49" s="59">
        <f t="shared" si="19"/>
        <v>0.1</v>
      </c>
      <c r="Q49" s="59">
        <f t="shared" si="20"/>
        <v>0.75</v>
      </c>
      <c r="R49" s="60" t="str">
        <f t="shared" si="18"/>
        <v>Scenario 2: County Share 10%</v>
      </c>
      <c r="T49" s="31" t="str">
        <f t="shared" si="23"/>
        <v/>
      </c>
      <c r="U49" s="50" t="str">
        <f t="shared" si="24"/>
        <v/>
      </c>
      <c r="V49" s="50" t="str">
        <f t="shared" si="25"/>
        <v/>
      </c>
      <c r="W49" s="50" t="str">
        <f t="shared" si="26"/>
        <v/>
      </c>
      <c r="X49" s="39" t="str">
        <f t="shared" si="27"/>
        <v>Scenario 3: County Share 42.5%</v>
      </c>
    </row>
    <row r="50" spans="1:24" x14ac:dyDescent="0.2">
      <c r="A50" s="13" t="s">
        <v>124</v>
      </c>
      <c r="B50" s="14" t="str">
        <f>IFERROR(_xlfn.XLOOKUP($A50,'County Contribution Actual'!B:B,'County Contribution Actual'!C:C),"")</f>
        <v/>
      </c>
      <c r="C50" s="50">
        <f>VLOOKUP(A50,'County Funding Level '!$A$2:$B$102,2,FALSE)</f>
        <v>7188564</v>
      </c>
      <c r="D50" s="31" t="str">
        <f>IFERROR(_xlfn.XLOOKUP($A50,'County Contribution Actual'!B:B,'County Contribution Actual'!D:D),"")</f>
        <v/>
      </c>
      <c r="E50" s="38" t="str">
        <f t="shared" si="21"/>
        <v>2 &amp; 3</v>
      </c>
      <c r="G50" s="58">
        <f t="shared" si="8"/>
        <v>2</v>
      </c>
      <c r="H50" s="31">
        <f t="shared" si="9"/>
        <v>0</v>
      </c>
      <c r="I50" s="50">
        <f t="shared" si="10"/>
        <v>0</v>
      </c>
      <c r="J50" s="50" t="str">
        <f t="shared" si="11"/>
        <v/>
      </c>
      <c r="K50" s="50">
        <f t="shared" si="22"/>
        <v>0</v>
      </c>
      <c r="L50" s="59" t="str">
        <f t="shared" si="12"/>
        <v/>
      </c>
      <c r="M50" s="59" t="str">
        <f t="shared" si="13"/>
        <v/>
      </c>
      <c r="N50" s="59" t="str">
        <f t="shared" si="14"/>
        <v/>
      </c>
      <c r="O50" s="59">
        <f t="shared" si="15"/>
        <v>0.15</v>
      </c>
      <c r="P50" s="59">
        <f t="shared" si="19"/>
        <v>0.1</v>
      </c>
      <c r="Q50" s="59">
        <f t="shared" si="20"/>
        <v>0.75</v>
      </c>
      <c r="R50" s="60" t="str">
        <f t="shared" si="18"/>
        <v>Scenario 2: County Share 10%</v>
      </c>
      <c r="T50" s="31" t="str">
        <f t="shared" si="23"/>
        <v/>
      </c>
      <c r="U50" s="50" t="str">
        <f t="shared" si="24"/>
        <v/>
      </c>
      <c r="V50" s="50" t="str">
        <f t="shared" si="25"/>
        <v/>
      </c>
      <c r="W50" s="50" t="str">
        <f t="shared" si="26"/>
        <v/>
      </c>
      <c r="X50" s="39" t="str">
        <f t="shared" si="27"/>
        <v>Scenario 3: County Share 42.5%</v>
      </c>
    </row>
    <row r="51" spans="1:24" x14ac:dyDescent="0.2">
      <c r="A51" s="13" t="s">
        <v>125</v>
      </c>
      <c r="B51" s="14" t="str">
        <f>IFERROR(_xlfn.XLOOKUP($A51,'County Contribution Actual'!B:B,'County Contribution Actual'!C:C),"")</f>
        <v/>
      </c>
      <c r="C51" s="50">
        <f>VLOOKUP(A51,'County Funding Level '!$A$2:$B$102,2,FALSE)</f>
        <v>32556083</v>
      </c>
      <c r="D51" s="31" t="str">
        <f>IFERROR(_xlfn.XLOOKUP($A51,'County Contribution Actual'!B:B,'County Contribution Actual'!D:D),"")</f>
        <v/>
      </c>
      <c r="E51" s="38" t="str">
        <f t="shared" si="21"/>
        <v>1</v>
      </c>
      <c r="G51" s="58">
        <f t="shared" si="8"/>
        <v>1</v>
      </c>
      <c r="H51" s="31">
        <f t="shared" si="9"/>
        <v>0</v>
      </c>
      <c r="I51" s="50">
        <f t="shared" si="10"/>
        <v>0</v>
      </c>
      <c r="J51" s="50" t="str">
        <f t="shared" si="11"/>
        <v/>
      </c>
      <c r="K51" s="50">
        <f t="shared" si="22"/>
        <v>0</v>
      </c>
      <c r="L51" s="59" t="str">
        <f t="shared" si="12"/>
        <v/>
      </c>
      <c r="M51" s="59" t="str">
        <f t="shared" si="13"/>
        <v/>
      </c>
      <c r="N51" s="59" t="str">
        <f t="shared" si="14"/>
        <v/>
      </c>
      <c r="O51" s="59">
        <f t="shared" si="15"/>
        <v>0.3</v>
      </c>
      <c r="P51" s="59">
        <f t="shared" si="19"/>
        <v>0.35</v>
      </c>
      <c r="Q51" s="59">
        <f t="shared" si="20"/>
        <v>0.35</v>
      </c>
      <c r="R51" s="60" t="str">
        <f t="shared" si="18"/>
        <v>Scenario 1: County Share 35%</v>
      </c>
      <c r="T51" s="31" t="str">
        <f t="shared" si="23"/>
        <v/>
      </c>
      <c r="U51" s="50" t="str">
        <f t="shared" si="24"/>
        <v/>
      </c>
      <c r="V51" s="50" t="str">
        <f t="shared" si="25"/>
        <v/>
      </c>
      <c r="W51" s="50" t="str">
        <f t="shared" si="26"/>
        <v/>
      </c>
      <c r="X51" s="39" t="str">
        <f t="shared" si="27"/>
        <v/>
      </c>
    </row>
    <row r="52" spans="1:24" x14ac:dyDescent="0.2">
      <c r="A52" s="13" t="s">
        <v>126</v>
      </c>
      <c r="B52" s="14" t="str">
        <f>IFERROR(_xlfn.XLOOKUP($A52,'County Contribution Actual'!B:B,'County Contribution Actual'!C:C),"")</f>
        <v/>
      </c>
      <c r="C52" s="50">
        <f>VLOOKUP(A52,'County Funding Level '!$A$2:$B$102,2,FALSE)</f>
        <v>8322333</v>
      </c>
      <c r="D52" s="31" t="str">
        <f>IFERROR(_xlfn.XLOOKUP($A52,'County Contribution Actual'!B:B,'County Contribution Actual'!D:D),"")</f>
        <v/>
      </c>
      <c r="E52" s="38" t="str">
        <f t="shared" si="21"/>
        <v>1</v>
      </c>
      <c r="G52" s="58">
        <f t="shared" si="8"/>
        <v>1</v>
      </c>
      <c r="H52" s="31">
        <f t="shared" si="9"/>
        <v>0</v>
      </c>
      <c r="I52" s="50">
        <f t="shared" si="10"/>
        <v>0</v>
      </c>
      <c r="J52" s="50" t="str">
        <f t="shared" si="11"/>
        <v/>
      </c>
      <c r="K52" s="50">
        <f t="shared" si="22"/>
        <v>0</v>
      </c>
      <c r="L52" s="59" t="str">
        <f t="shared" si="12"/>
        <v/>
      </c>
      <c r="M52" s="59" t="str">
        <f t="shared" si="13"/>
        <v/>
      </c>
      <c r="N52" s="59" t="str">
        <f t="shared" si="14"/>
        <v/>
      </c>
      <c r="O52" s="59">
        <f t="shared" si="15"/>
        <v>0.3</v>
      </c>
      <c r="P52" s="59">
        <f t="shared" si="19"/>
        <v>0.35</v>
      </c>
      <c r="Q52" s="59">
        <f t="shared" si="20"/>
        <v>0.35</v>
      </c>
      <c r="R52" s="60" t="str">
        <f t="shared" si="18"/>
        <v>Scenario 1: County Share 35%</v>
      </c>
      <c r="T52" s="31" t="str">
        <f t="shared" si="23"/>
        <v/>
      </c>
      <c r="U52" s="50" t="str">
        <f t="shared" si="24"/>
        <v/>
      </c>
      <c r="V52" s="50" t="str">
        <f t="shared" si="25"/>
        <v/>
      </c>
      <c r="W52" s="50" t="str">
        <f t="shared" si="26"/>
        <v/>
      </c>
      <c r="X52" s="39" t="str">
        <f t="shared" si="27"/>
        <v/>
      </c>
    </row>
    <row r="53" spans="1:24" x14ac:dyDescent="0.2">
      <c r="A53" s="13" t="s">
        <v>127</v>
      </c>
      <c r="B53" s="14" t="str">
        <f>IFERROR(_xlfn.XLOOKUP($A53,'County Contribution Actual'!B:B,'County Contribution Actual'!C:C),"")</f>
        <v/>
      </c>
      <c r="C53" s="50">
        <f>VLOOKUP(A53,'County Funding Level '!$A$2:$B$102,2,FALSE)</f>
        <v>11409751</v>
      </c>
      <c r="D53" s="31" t="str">
        <f>IFERROR(_xlfn.XLOOKUP($A53,'County Contribution Actual'!B:B,'County Contribution Actual'!D:D),"")</f>
        <v/>
      </c>
      <c r="E53" s="38" t="str">
        <f t="shared" si="21"/>
        <v>1</v>
      </c>
      <c r="G53" s="58">
        <f t="shared" si="8"/>
        <v>1</v>
      </c>
      <c r="H53" s="31">
        <f t="shared" si="9"/>
        <v>0</v>
      </c>
      <c r="I53" s="50">
        <f t="shared" si="10"/>
        <v>0</v>
      </c>
      <c r="J53" s="50" t="str">
        <f t="shared" si="11"/>
        <v/>
      </c>
      <c r="K53" s="50">
        <f t="shared" si="22"/>
        <v>0</v>
      </c>
      <c r="L53" s="59" t="str">
        <f t="shared" si="12"/>
        <v/>
      </c>
      <c r="M53" s="59" t="str">
        <f t="shared" si="13"/>
        <v/>
      </c>
      <c r="N53" s="59" t="str">
        <f t="shared" si="14"/>
        <v/>
      </c>
      <c r="O53" s="59">
        <f t="shared" si="15"/>
        <v>0.3</v>
      </c>
      <c r="P53" s="59">
        <f t="shared" si="19"/>
        <v>0.35</v>
      </c>
      <c r="Q53" s="59">
        <f t="shared" si="20"/>
        <v>0.35</v>
      </c>
      <c r="R53" s="60" t="str">
        <f t="shared" si="18"/>
        <v>Scenario 1: County Share 35%</v>
      </c>
      <c r="T53" s="31" t="str">
        <f t="shared" si="23"/>
        <v/>
      </c>
      <c r="U53" s="50" t="str">
        <f t="shared" si="24"/>
        <v/>
      </c>
      <c r="V53" s="50" t="str">
        <f t="shared" si="25"/>
        <v/>
      </c>
      <c r="W53" s="50" t="str">
        <f t="shared" si="26"/>
        <v/>
      </c>
      <c r="X53" s="39" t="str">
        <f t="shared" si="27"/>
        <v/>
      </c>
    </row>
    <row r="54" spans="1:24" x14ac:dyDescent="0.2">
      <c r="A54" s="13" t="s">
        <v>128</v>
      </c>
      <c r="B54" s="14" t="str">
        <f>IFERROR(_xlfn.XLOOKUP($A54,'County Contribution Actual'!B:B,'County Contribution Actual'!C:C),"")</f>
        <v/>
      </c>
      <c r="C54" s="50">
        <f>VLOOKUP(A54,'County Funding Level '!$A$2:$B$102,2,FALSE)</f>
        <v>62445275</v>
      </c>
      <c r="D54" s="31" t="str">
        <f>IFERROR(_xlfn.XLOOKUP($A54,'County Contribution Actual'!B:B,'County Contribution Actual'!D:D),"")</f>
        <v/>
      </c>
      <c r="E54" s="38" t="str">
        <f t="shared" si="21"/>
        <v>1</v>
      </c>
      <c r="G54" s="58">
        <f t="shared" si="8"/>
        <v>1</v>
      </c>
      <c r="H54" s="31">
        <f t="shared" si="9"/>
        <v>0</v>
      </c>
      <c r="I54" s="50">
        <f t="shared" si="10"/>
        <v>0</v>
      </c>
      <c r="J54" s="50" t="str">
        <f t="shared" si="11"/>
        <v/>
      </c>
      <c r="K54" s="50">
        <f t="shared" si="22"/>
        <v>0</v>
      </c>
      <c r="L54" s="59" t="str">
        <f t="shared" si="12"/>
        <v/>
      </c>
      <c r="M54" s="59" t="str">
        <f t="shared" si="13"/>
        <v/>
      </c>
      <c r="N54" s="59" t="str">
        <f t="shared" si="14"/>
        <v/>
      </c>
      <c r="O54" s="59">
        <f t="shared" si="15"/>
        <v>0.3</v>
      </c>
      <c r="P54" s="59">
        <f t="shared" si="19"/>
        <v>0.35</v>
      </c>
      <c r="Q54" s="59">
        <f t="shared" si="20"/>
        <v>0.35</v>
      </c>
      <c r="R54" s="60" t="str">
        <f t="shared" si="18"/>
        <v>Scenario 1: County Share 35%</v>
      </c>
      <c r="T54" s="31" t="str">
        <f t="shared" si="23"/>
        <v/>
      </c>
      <c r="U54" s="50" t="str">
        <f t="shared" si="24"/>
        <v/>
      </c>
      <c r="V54" s="50" t="str">
        <f t="shared" si="25"/>
        <v/>
      </c>
      <c r="W54" s="50" t="str">
        <f t="shared" si="26"/>
        <v/>
      </c>
      <c r="X54" s="39" t="str">
        <f t="shared" si="27"/>
        <v/>
      </c>
    </row>
    <row r="55" spans="1:24" x14ac:dyDescent="0.2">
      <c r="A55" s="13" t="s">
        <v>129</v>
      </c>
      <c r="B55" s="14" t="str">
        <f>IFERROR(_xlfn.XLOOKUP($A55,'County Contribution Actual'!B:B,'County Contribution Actual'!C:C),"")</f>
        <v/>
      </c>
      <c r="C55" s="50">
        <f>VLOOKUP(A55,'County Funding Level '!$A$2:$B$102,2,FALSE)</f>
        <v>74256322</v>
      </c>
      <c r="D55" s="31" t="str">
        <f>IFERROR(_xlfn.XLOOKUP($A55,'County Contribution Actual'!B:B,'County Contribution Actual'!D:D),"")</f>
        <v/>
      </c>
      <c r="E55" s="38" t="str">
        <f t="shared" si="21"/>
        <v>1</v>
      </c>
      <c r="G55" s="58">
        <f t="shared" si="8"/>
        <v>1</v>
      </c>
      <c r="H55" s="31">
        <f t="shared" si="9"/>
        <v>0</v>
      </c>
      <c r="I55" s="50">
        <f t="shared" si="10"/>
        <v>0</v>
      </c>
      <c r="J55" s="50" t="str">
        <f t="shared" si="11"/>
        <v/>
      </c>
      <c r="K55" s="50">
        <f t="shared" si="22"/>
        <v>0</v>
      </c>
      <c r="L55" s="59" t="str">
        <f t="shared" si="12"/>
        <v/>
      </c>
      <c r="M55" s="59" t="str">
        <f t="shared" si="13"/>
        <v/>
      </c>
      <c r="N55" s="59" t="str">
        <f t="shared" si="14"/>
        <v/>
      </c>
      <c r="O55" s="59">
        <f t="shared" si="15"/>
        <v>0.3</v>
      </c>
      <c r="P55" s="59">
        <f t="shared" si="19"/>
        <v>0.35</v>
      </c>
      <c r="Q55" s="59">
        <f t="shared" si="20"/>
        <v>0.35</v>
      </c>
      <c r="R55" s="60" t="str">
        <f t="shared" si="18"/>
        <v>Scenario 1: County Share 35%</v>
      </c>
      <c r="T55" s="31" t="str">
        <f t="shared" si="23"/>
        <v/>
      </c>
      <c r="U55" s="50" t="str">
        <f t="shared" si="24"/>
        <v/>
      </c>
      <c r="V55" s="50" t="str">
        <f t="shared" si="25"/>
        <v/>
      </c>
      <c r="W55" s="50" t="str">
        <f t="shared" si="26"/>
        <v/>
      </c>
      <c r="X55" s="39" t="str">
        <f t="shared" si="27"/>
        <v/>
      </c>
    </row>
    <row r="56" spans="1:24" x14ac:dyDescent="0.2">
      <c r="A56" s="13" t="s">
        <v>130</v>
      </c>
      <c r="B56" s="14" t="str">
        <f>IFERROR(_xlfn.XLOOKUP($A56,'County Contribution Actual'!B:B,'County Contribution Actual'!C:C),"")</f>
        <v/>
      </c>
      <c r="C56" s="50">
        <f>VLOOKUP(A56,'County Funding Level '!$A$2:$B$102,2,FALSE)</f>
        <v>43612126</v>
      </c>
      <c r="D56" s="31" t="str">
        <f>IFERROR(_xlfn.XLOOKUP($A56,'County Contribution Actual'!B:B,'County Contribution Actual'!D:D),"")</f>
        <v/>
      </c>
      <c r="E56" s="38" t="str">
        <f t="shared" si="21"/>
        <v>1</v>
      </c>
      <c r="G56" s="58">
        <f t="shared" si="8"/>
        <v>1</v>
      </c>
      <c r="H56" s="31">
        <f t="shared" si="9"/>
        <v>0</v>
      </c>
      <c r="I56" s="50">
        <f t="shared" si="10"/>
        <v>0</v>
      </c>
      <c r="J56" s="50" t="str">
        <f t="shared" si="11"/>
        <v/>
      </c>
      <c r="K56" s="50">
        <f t="shared" si="22"/>
        <v>0</v>
      </c>
      <c r="L56" s="59" t="str">
        <f t="shared" si="12"/>
        <v/>
      </c>
      <c r="M56" s="59" t="str">
        <f t="shared" si="13"/>
        <v/>
      </c>
      <c r="N56" s="59" t="str">
        <f t="shared" si="14"/>
        <v/>
      </c>
      <c r="O56" s="59">
        <f t="shared" si="15"/>
        <v>0.3</v>
      </c>
      <c r="P56" s="59">
        <f t="shared" si="19"/>
        <v>0.35</v>
      </c>
      <c r="Q56" s="59">
        <f t="shared" si="20"/>
        <v>0.35</v>
      </c>
      <c r="R56" s="60" t="str">
        <f t="shared" si="18"/>
        <v>Scenario 1: County Share 35%</v>
      </c>
      <c r="T56" s="31" t="str">
        <f t="shared" si="23"/>
        <v/>
      </c>
      <c r="U56" s="50" t="str">
        <f t="shared" si="24"/>
        <v/>
      </c>
      <c r="V56" s="50" t="str">
        <f t="shared" si="25"/>
        <v/>
      </c>
      <c r="W56" s="50" t="str">
        <f t="shared" si="26"/>
        <v/>
      </c>
      <c r="X56" s="39" t="str">
        <f t="shared" si="27"/>
        <v/>
      </c>
    </row>
    <row r="57" spans="1:24" x14ac:dyDescent="0.2">
      <c r="A57" s="13" t="s">
        <v>131</v>
      </c>
      <c r="B57" s="14" t="str">
        <f>IFERROR(_xlfn.XLOOKUP($A57,'County Contribution Actual'!B:B,'County Contribution Actual'!C:C),"")</f>
        <v/>
      </c>
      <c r="C57" s="50">
        <f>VLOOKUP(A57,'County Funding Level '!$A$2:$B$102,2,FALSE)</f>
        <v>1639565</v>
      </c>
      <c r="D57" s="31" t="str">
        <f>IFERROR(_xlfn.XLOOKUP($A57,'County Contribution Actual'!B:B,'County Contribution Actual'!D:D),"")</f>
        <v/>
      </c>
      <c r="E57" s="38" t="str">
        <f t="shared" si="21"/>
        <v>4 &amp; 5</v>
      </c>
      <c r="G57" s="58">
        <f t="shared" si="8"/>
        <v>3</v>
      </c>
      <c r="H57" s="31">
        <f t="shared" si="9"/>
        <v>0</v>
      </c>
      <c r="I57" s="50">
        <f t="shared" si="10"/>
        <v>0</v>
      </c>
      <c r="J57" s="50" t="str">
        <f t="shared" si="11"/>
        <v/>
      </c>
      <c r="K57" s="50">
        <f t="shared" si="22"/>
        <v>0</v>
      </c>
      <c r="L57" s="59" t="str">
        <f t="shared" si="12"/>
        <v/>
      </c>
      <c r="M57" s="59" t="str">
        <f t="shared" si="13"/>
        <v/>
      </c>
      <c r="N57" s="59" t="str">
        <f t="shared" si="14"/>
        <v/>
      </c>
      <c r="O57" s="59">
        <f t="shared" si="15"/>
        <v>0.15</v>
      </c>
      <c r="P57" s="59">
        <f t="shared" si="19"/>
        <v>0.05</v>
      </c>
      <c r="Q57" s="59">
        <f t="shared" si="20"/>
        <v>0.8</v>
      </c>
      <c r="R57" s="60" t="str">
        <f t="shared" si="18"/>
        <v>Scenario 4: County Share 5%</v>
      </c>
      <c r="T57" s="31" t="str">
        <f t="shared" si="23"/>
        <v/>
      </c>
      <c r="U57" s="50" t="str">
        <f t="shared" si="24"/>
        <v/>
      </c>
      <c r="V57" s="50" t="str">
        <f t="shared" si="25"/>
        <v/>
      </c>
      <c r="W57" s="50" t="str">
        <f t="shared" si="26"/>
        <v/>
      </c>
      <c r="X57" s="39" t="str">
        <f t="shared" si="27"/>
        <v>Scenario 5: County Share 42.5%</v>
      </c>
    </row>
    <row r="58" spans="1:24" x14ac:dyDescent="0.2">
      <c r="A58" s="13" t="s">
        <v>132</v>
      </c>
      <c r="B58" s="14" t="str">
        <f>IFERROR(_xlfn.XLOOKUP($A58,'County Contribution Actual'!B:B,'County Contribution Actual'!C:C),"")</f>
        <v/>
      </c>
      <c r="C58" s="50">
        <f>VLOOKUP(A58,'County Funding Level '!$A$2:$B$102,2,FALSE)</f>
        <v>4092406</v>
      </c>
      <c r="D58" s="31" t="str">
        <f>IFERROR(_xlfn.XLOOKUP($A58,'County Contribution Actual'!B:B,'County Contribution Actual'!D:D),"")</f>
        <v/>
      </c>
      <c r="E58" s="38" t="str">
        <f t="shared" si="21"/>
        <v>2 &amp; 3</v>
      </c>
      <c r="G58" s="58">
        <f t="shared" si="8"/>
        <v>2</v>
      </c>
      <c r="H58" s="31">
        <f t="shared" si="9"/>
        <v>0</v>
      </c>
      <c r="I58" s="50">
        <f t="shared" si="10"/>
        <v>0</v>
      </c>
      <c r="J58" s="50" t="str">
        <f t="shared" si="11"/>
        <v/>
      </c>
      <c r="K58" s="50">
        <f t="shared" si="22"/>
        <v>0</v>
      </c>
      <c r="L58" s="59" t="str">
        <f t="shared" si="12"/>
        <v/>
      </c>
      <c r="M58" s="59" t="str">
        <f t="shared" si="13"/>
        <v/>
      </c>
      <c r="N58" s="59" t="str">
        <f t="shared" si="14"/>
        <v/>
      </c>
      <c r="O58" s="59">
        <f t="shared" si="15"/>
        <v>0.15</v>
      </c>
      <c r="P58" s="59">
        <f t="shared" si="19"/>
        <v>0.1</v>
      </c>
      <c r="Q58" s="59">
        <f t="shared" si="20"/>
        <v>0.75</v>
      </c>
      <c r="R58" s="60" t="str">
        <f t="shared" si="18"/>
        <v>Scenario 2: County Share 10%</v>
      </c>
      <c r="T58" s="31" t="str">
        <f t="shared" si="23"/>
        <v/>
      </c>
      <c r="U58" s="50" t="str">
        <f t="shared" si="24"/>
        <v/>
      </c>
      <c r="V58" s="50" t="str">
        <f t="shared" si="25"/>
        <v/>
      </c>
      <c r="W58" s="50" t="str">
        <f t="shared" si="26"/>
        <v/>
      </c>
      <c r="X58" s="39" t="str">
        <f t="shared" si="27"/>
        <v>Scenario 3: County Share 42.5%</v>
      </c>
    </row>
    <row r="59" spans="1:24" x14ac:dyDescent="0.2">
      <c r="A59" s="13" t="s">
        <v>133</v>
      </c>
      <c r="B59" s="14" t="str">
        <f>IFERROR(_xlfn.XLOOKUP($A59,'County Contribution Actual'!B:B,'County Contribution Actual'!C:C),"")</f>
        <v/>
      </c>
      <c r="C59" s="50">
        <f>VLOOKUP(A59,'County Funding Level '!$A$2:$B$102,2,FALSE)</f>
        <v>104339752</v>
      </c>
      <c r="D59" s="31" t="str">
        <f>IFERROR(_xlfn.XLOOKUP($A59,'County Contribution Actual'!B:B,'County Contribution Actual'!D:D),"")</f>
        <v/>
      </c>
      <c r="E59" s="38" t="str">
        <f t="shared" si="21"/>
        <v>1</v>
      </c>
      <c r="G59" s="58">
        <f t="shared" si="8"/>
        <v>1</v>
      </c>
      <c r="H59" s="31">
        <f t="shared" si="9"/>
        <v>0</v>
      </c>
      <c r="I59" s="50">
        <f t="shared" si="10"/>
        <v>0</v>
      </c>
      <c r="J59" s="50" t="str">
        <f t="shared" si="11"/>
        <v/>
      </c>
      <c r="K59" s="50">
        <f t="shared" si="22"/>
        <v>0</v>
      </c>
      <c r="L59" s="59" t="str">
        <f t="shared" si="12"/>
        <v/>
      </c>
      <c r="M59" s="59" t="str">
        <f t="shared" si="13"/>
        <v/>
      </c>
      <c r="N59" s="59" t="str">
        <f t="shared" si="14"/>
        <v/>
      </c>
      <c r="O59" s="59">
        <f t="shared" si="15"/>
        <v>0.3</v>
      </c>
      <c r="P59" s="59">
        <f t="shared" si="19"/>
        <v>0.35</v>
      </c>
      <c r="Q59" s="59">
        <f t="shared" si="20"/>
        <v>0.35</v>
      </c>
      <c r="R59" s="60" t="str">
        <f t="shared" si="18"/>
        <v>Scenario 1: County Share 35%</v>
      </c>
      <c r="T59" s="31" t="str">
        <f t="shared" si="23"/>
        <v/>
      </c>
      <c r="U59" s="50" t="str">
        <f t="shared" si="24"/>
        <v/>
      </c>
      <c r="V59" s="50" t="str">
        <f t="shared" si="25"/>
        <v/>
      </c>
      <c r="W59" s="50" t="str">
        <f t="shared" si="26"/>
        <v/>
      </c>
      <c r="X59" s="39" t="str">
        <f t="shared" si="27"/>
        <v/>
      </c>
    </row>
    <row r="60" spans="1:24" x14ac:dyDescent="0.2">
      <c r="A60" s="13" t="s">
        <v>134</v>
      </c>
      <c r="B60" s="14" t="str">
        <f>IFERROR(_xlfn.XLOOKUP($A60,'County Contribution Actual'!B:B,'County Contribution Actual'!C:C),"")</f>
        <v/>
      </c>
      <c r="C60" s="50">
        <f>VLOOKUP(A60,'County Funding Level '!$A$2:$B$102,2,FALSE)</f>
        <v>9713856</v>
      </c>
      <c r="D60" s="31" t="str">
        <f>IFERROR(_xlfn.XLOOKUP($A60,'County Contribution Actual'!B:B,'County Contribution Actual'!D:D),"")</f>
        <v/>
      </c>
      <c r="E60" s="38" t="str">
        <f t="shared" si="21"/>
        <v>1</v>
      </c>
      <c r="G60" s="58">
        <f t="shared" si="8"/>
        <v>1</v>
      </c>
      <c r="H60" s="31">
        <f t="shared" si="9"/>
        <v>0</v>
      </c>
      <c r="I60" s="50">
        <f t="shared" si="10"/>
        <v>0</v>
      </c>
      <c r="J60" s="50" t="str">
        <f t="shared" si="11"/>
        <v/>
      </c>
      <c r="K60" s="50">
        <f t="shared" si="22"/>
        <v>0</v>
      </c>
      <c r="L60" s="59" t="str">
        <f t="shared" si="12"/>
        <v/>
      </c>
      <c r="M60" s="59" t="str">
        <f t="shared" si="13"/>
        <v/>
      </c>
      <c r="N60" s="59" t="str">
        <f t="shared" si="14"/>
        <v/>
      </c>
      <c r="O60" s="59">
        <f t="shared" si="15"/>
        <v>0.3</v>
      </c>
      <c r="P60" s="59">
        <f t="shared" si="19"/>
        <v>0.35</v>
      </c>
      <c r="Q60" s="59">
        <f t="shared" si="20"/>
        <v>0.35</v>
      </c>
      <c r="R60" s="60" t="str">
        <f t="shared" si="18"/>
        <v>Scenario 1: County Share 35%</v>
      </c>
      <c r="T60" s="31" t="str">
        <f t="shared" si="23"/>
        <v/>
      </c>
      <c r="U60" s="50" t="str">
        <f t="shared" si="24"/>
        <v/>
      </c>
      <c r="V60" s="50" t="str">
        <f t="shared" si="25"/>
        <v/>
      </c>
      <c r="W60" s="50" t="str">
        <f t="shared" si="26"/>
        <v/>
      </c>
      <c r="X60" s="39" t="str">
        <f t="shared" si="27"/>
        <v/>
      </c>
    </row>
    <row r="61" spans="1:24" x14ac:dyDescent="0.2">
      <c r="A61" s="13" t="s">
        <v>135</v>
      </c>
      <c r="B61" s="14" t="str">
        <f>IFERROR(_xlfn.XLOOKUP($A61,'County Contribution Actual'!B:B,'County Contribution Actual'!C:C),"")</f>
        <v>yes</v>
      </c>
      <c r="C61" s="50">
        <f>VLOOKUP(A61,'County Funding Level '!$A$2:$B$102,2,FALSE)</f>
        <v>22806876</v>
      </c>
      <c r="D61" s="31">
        <f>IFERROR(_xlfn.XLOOKUP($A61,'County Contribution Actual'!B:B,'County Contribution Actual'!D:D),"")</f>
        <v>2500000</v>
      </c>
      <c r="E61" s="38" t="str">
        <f t="shared" si="21"/>
        <v>1</v>
      </c>
      <c r="G61" s="58">
        <f t="shared" si="8"/>
        <v>1</v>
      </c>
      <c r="H61" s="31">
        <f t="shared" si="9"/>
        <v>7142857.1428571437</v>
      </c>
      <c r="I61" s="50">
        <f t="shared" si="10"/>
        <v>2142857.1428571437</v>
      </c>
      <c r="J61" s="50">
        <f t="shared" si="11"/>
        <v>2500000</v>
      </c>
      <c r="K61" s="50">
        <f t="shared" si="22"/>
        <v>2500000</v>
      </c>
      <c r="L61" s="59">
        <f t="shared" si="12"/>
        <v>0.3000000000000001</v>
      </c>
      <c r="M61" s="59">
        <f t="shared" si="13"/>
        <v>0.35</v>
      </c>
      <c r="N61" s="59">
        <f t="shared" si="14"/>
        <v>0.35</v>
      </c>
      <c r="O61" s="59">
        <f t="shared" si="15"/>
        <v>0.3</v>
      </c>
      <c r="P61" s="59">
        <f t="shared" si="19"/>
        <v>0.35</v>
      </c>
      <c r="Q61" s="59">
        <f t="shared" si="20"/>
        <v>0.35</v>
      </c>
      <c r="R61" s="60" t="str">
        <f t="shared" si="18"/>
        <v>Scenario 1: County Share 35%</v>
      </c>
      <c r="T61" s="31" t="str">
        <f t="shared" si="23"/>
        <v/>
      </c>
      <c r="U61" s="50" t="str">
        <f t="shared" si="24"/>
        <v/>
      </c>
      <c r="V61" s="50" t="str">
        <f t="shared" si="25"/>
        <v/>
      </c>
      <c r="W61" s="50" t="str">
        <f t="shared" si="26"/>
        <v/>
      </c>
      <c r="X61" s="39" t="str">
        <f t="shared" si="27"/>
        <v/>
      </c>
    </row>
    <row r="62" spans="1:24" x14ac:dyDescent="0.2">
      <c r="A62" s="13" t="s">
        <v>136</v>
      </c>
      <c r="B62" s="14" t="str">
        <f>IFERROR(_xlfn.XLOOKUP($A62,'County Contribution Actual'!B:B,'County Contribution Actual'!C:C),"")</f>
        <v/>
      </c>
      <c r="C62" s="50">
        <f>VLOOKUP(A62,'County Funding Level '!$A$2:$B$102,2,FALSE)</f>
        <v>4598980</v>
      </c>
      <c r="D62" s="31" t="str">
        <f>IFERROR(_xlfn.XLOOKUP($A62,'County Contribution Actual'!B:B,'County Contribution Actual'!D:D),"")</f>
        <v/>
      </c>
      <c r="E62" s="38" t="str">
        <f t="shared" si="21"/>
        <v>2 &amp; 3</v>
      </c>
      <c r="G62" s="58">
        <f t="shared" si="8"/>
        <v>2</v>
      </c>
      <c r="H62" s="31">
        <f t="shared" si="9"/>
        <v>0</v>
      </c>
      <c r="I62" s="50">
        <f t="shared" si="10"/>
        <v>0</v>
      </c>
      <c r="J62" s="50" t="str">
        <f t="shared" si="11"/>
        <v/>
      </c>
      <c r="K62" s="50">
        <f t="shared" si="22"/>
        <v>0</v>
      </c>
      <c r="L62" s="59" t="str">
        <f t="shared" si="12"/>
        <v/>
      </c>
      <c r="M62" s="59" t="str">
        <f t="shared" si="13"/>
        <v/>
      </c>
      <c r="N62" s="59" t="str">
        <f t="shared" si="14"/>
        <v/>
      </c>
      <c r="O62" s="59">
        <f t="shared" si="15"/>
        <v>0.15</v>
      </c>
      <c r="P62" s="59">
        <f t="shared" si="19"/>
        <v>0.1</v>
      </c>
      <c r="Q62" s="59">
        <f t="shared" si="20"/>
        <v>0.75</v>
      </c>
      <c r="R62" s="60" t="str">
        <f t="shared" si="18"/>
        <v>Scenario 2: County Share 10%</v>
      </c>
      <c r="T62" s="31" t="str">
        <f t="shared" si="23"/>
        <v/>
      </c>
      <c r="U62" s="50" t="str">
        <f t="shared" si="24"/>
        <v/>
      </c>
      <c r="V62" s="50" t="str">
        <f t="shared" si="25"/>
        <v/>
      </c>
      <c r="W62" s="50" t="str">
        <f t="shared" si="26"/>
        <v/>
      </c>
      <c r="X62" s="39" t="str">
        <f t="shared" si="27"/>
        <v>Scenario 3: County Share 42.5%</v>
      </c>
    </row>
    <row r="63" spans="1:24" x14ac:dyDescent="0.2">
      <c r="A63" s="13" t="s">
        <v>137</v>
      </c>
      <c r="B63" s="14" t="str">
        <f>IFERROR(_xlfn.XLOOKUP($A63,'County Contribution Actual'!B:B,'County Contribution Actual'!C:C),"")</f>
        <v/>
      </c>
      <c r="C63" s="50">
        <f>VLOOKUP(A63,'County Funding Level '!$A$2:$B$102,2,FALSE)</f>
        <v>10728557</v>
      </c>
      <c r="D63" s="31" t="str">
        <f>IFERROR(_xlfn.XLOOKUP($A63,'County Contribution Actual'!B:B,'County Contribution Actual'!D:D),"")</f>
        <v/>
      </c>
      <c r="E63" s="38" t="str">
        <f t="shared" si="21"/>
        <v>1</v>
      </c>
      <c r="G63" s="58">
        <f t="shared" si="8"/>
        <v>1</v>
      </c>
      <c r="H63" s="31">
        <f t="shared" si="9"/>
        <v>0</v>
      </c>
      <c r="I63" s="50">
        <f t="shared" si="10"/>
        <v>0</v>
      </c>
      <c r="J63" s="50" t="str">
        <f t="shared" si="11"/>
        <v/>
      </c>
      <c r="K63" s="50">
        <f t="shared" si="22"/>
        <v>0</v>
      </c>
      <c r="L63" s="59" t="str">
        <f t="shared" si="12"/>
        <v/>
      </c>
      <c r="M63" s="59" t="str">
        <f t="shared" si="13"/>
        <v/>
      </c>
      <c r="N63" s="59" t="str">
        <f t="shared" si="14"/>
        <v/>
      </c>
      <c r="O63" s="59">
        <f t="shared" si="15"/>
        <v>0.3</v>
      </c>
      <c r="P63" s="59">
        <f t="shared" si="19"/>
        <v>0.35</v>
      </c>
      <c r="Q63" s="59">
        <f t="shared" si="20"/>
        <v>0.35</v>
      </c>
      <c r="R63" s="60" t="str">
        <f t="shared" si="18"/>
        <v>Scenario 1: County Share 35%</v>
      </c>
      <c r="T63" s="31" t="str">
        <f t="shared" si="23"/>
        <v/>
      </c>
      <c r="U63" s="50" t="str">
        <f t="shared" si="24"/>
        <v/>
      </c>
      <c r="V63" s="50" t="str">
        <f t="shared" si="25"/>
        <v/>
      </c>
      <c r="W63" s="50" t="str">
        <f t="shared" si="26"/>
        <v/>
      </c>
      <c r="X63" s="39" t="str">
        <f t="shared" si="27"/>
        <v/>
      </c>
    </row>
    <row r="64" spans="1:24" x14ac:dyDescent="0.2">
      <c r="A64" s="13" t="s">
        <v>138</v>
      </c>
      <c r="B64" s="14" t="str">
        <f>IFERROR(_xlfn.XLOOKUP($A64,'County Contribution Actual'!B:B,'County Contribution Actual'!C:C),"")</f>
        <v/>
      </c>
      <c r="C64" s="50">
        <f>VLOOKUP(A64,'County Funding Level '!$A$2:$B$102,2,FALSE)</f>
        <v>958954</v>
      </c>
      <c r="D64" s="31" t="str">
        <f>IFERROR(_xlfn.XLOOKUP($A64,'County Contribution Actual'!B:B,'County Contribution Actual'!D:D),"")</f>
        <v/>
      </c>
      <c r="E64" s="38" t="str">
        <f t="shared" si="21"/>
        <v>4 &amp; 5</v>
      </c>
      <c r="G64" s="58">
        <f t="shared" si="8"/>
        <v>3</v>
      </c>
      <c r="H64" s="31">
        <f t="shared" si="9"/>
        <v>0</v>
      </c>
      <c r="I64" s="50">
        <f t="shared" si="10"/>
        <v>0</v>
      </c>
      <c r="J64" s="50" t="str">
        <f t="shared" si="11"/>
        <v/>
      </c>
      <c r="K64" s="50">
        <f t="shared" si="22"/>
        <v>0</v>
      </c>
      <c r="L64" s="59" t="str">
        <f t="shared" si="12"/>
        <v/>
      </c>
      <c r="M64" s="59" t="str">
        <f t="shared" si="13"/>
        <v/>
      </c>
      <c r="N64" s="59" t="str">
        <f t="shared" si="14"/>
        <v/>
      </c>
      <c r="O64" s="59">
        <f t="shared" si="15"/>
        <v>0.15</v>
      </c>
      <c r="P64" s="59">
        <f t="shared" si="19"/>
        <v>0.05</v>
      </c>
      <c r="Q64" s="59">
        <f t="shared" si="20"/>
        <v>0.8</v>
      </c>
      <c r="R64" s="60" t="str">
        <f t="shared" si="18"/>
        <v>Scenario 4: County Share 5%</v>
      </c>
      <c r="T64" s="31" t="str">
        <f t="shared" si="23"/>
        <v/>
      </c>
      <c r="U64" s="50" t="str">
        <f t="shared" si="24"/>
        <v/>
      </c>
      <c r="V64" s="50" t="str">
        <f t="shared" si="25"/>
        <v/>
      </c>
      <c r="W64" s="50" t="str">
        <f t="shared" si="26"/>
        <v/>
      </c>
      <c r="X64" s="39" t="str">
        <f t="shared" si="27"/>
        <v>Scenario 5: County Share 42.5%</v>
      </c>
    </row>
    <row r="65" spans="1:24" x14ac:dyDescent="0.2">
      <c r="A65" s="13" t="s">
        <v>139</v>
      </c>
      <c r="B65" s="14" t="str">
        <f>IFERROR(_xlfn.XLOOKUP($A65,'County Contribution Actual'!B:B,'County Contribution Actual'!C:C),"")</f>
        <v/>
      </c>
      <c r="C65" s="50">
        <f>VLOOKUP(A65,'County Funding Level '!$A$2:$B$102,2,FALSE)</f>
        <v>35313684</v>
      </c>
      <c r="D65" s="31" t="str">
        <f>IFERROR(_xlfn.XLOOKUP($A65,'County Contribution Actual'!B:B,'County Contribution Actual'!D:D),"")</f>
        <v/>
      </c>
      <c r="E65" s="38" t="str">
        <f t="shared" si="21"/>
        <v>1</v>
      </c>
      <c r="G65" s="58">
        <f t="shared" si="8"/>
        <v>1</v>
      </c>
      <c r="H65" s="31">
        <f t="shared" si="9"/>
        <v>0</v>
      </c>
      <c r="I65" s="50">
        <f t="shared" si="10"/>
        <v>0</v>
      </c>
      <c r="J65" s="50" t="str">
        <f t="shared" si="11"/>
        <v/>
      </c>
      <c r="K65" s="50">
        <f t="shared" si="22"/>
        <v>0</v>
      </c>
      <c r="L65" s="59" t="str">
        <f t="shared" si="12"/>
        <v/>
      </c>
      <c r="M65" s="59" t="str">
        <f t="shared" si="13"/>
        <v/>
      </c>
      <c r="N65" s="59" t="str">
        <f t="shared" si="14"/>
        <v/>
      </c>
      <c r="O65" s="59">
        <f t="shared" si="15"/>
        <v>0.3</v>
      </c>
      <c r="P65" s="59">
        <f t="shared" si="19"/>
        <v>0.35</v>
      </c>
      <c r="Q65" s="59">
        <f t="shared" si="20"/>
        <v>0.35</v>
      </c>
      <c r="R65" s="60" t="str">
        <f t="shared" si="18"/>
        <v>Scenario 1: County Share 35%</v>
      </c>
      <c r="T65" s="31" t="str">
        <f t="shared" si="23"/>
        <v/>
      </c>
      <c r="U65" s="50" t="str">
        <f t="shared" si="24"/>
        <v/>
      </c>
      <c r="V65" s="50" t="str">
        <f t="shared" si="25"/>
        <v/>
      </c>
      <c r="W65" s="50" t="str">
        <f t="shared" si="26"/>
        <v/>
      </c>
      <c r="X65" s="39" t="str">
        <f t="shared" si="27"/>
        <v/>
      </c>
    </row>
    <row r="66" spans="1:24" x14ac:dyDescent="0.2">
      <c r="A66" s="13" t="s">
        <v>140</v>
      </c>
      <c r="B66" s="14" t="str">
        <f>IFERROR(_xlfn.XLOOKUP($A66,'County Contribution Actual'!B:B,'County Contribution Actual'!C:C),"")</f>
        <v/>
      </c>
      <c r="C66" s="50">
        <f>VLOOKUP(A66,'County Funding Level '!$A$2:$B$102,2,FALSE)</f>
        <v>8534441</v>
      </c>
      <c r="D66" s="31" t="str">
        <f>IFERROR(_xlfn.XLOOKUP($A66,'County Contribution Actual'!B:B,'County Contribution Actual'!D:D),"")</f>
        <v/>
      </c>
      <c r="E66" s="38" t="str">
        <f t="shared" si="21"/>
        <v>1</v>
      </c>
      <c r="G66" s="58">
        <f t="shared" si="8"/>
        <v>1</v>
      </c>
      <c r="H66" s="31">
        <f t="shared" si="9"/>
        <v>0</v>
      </c>
      <c r="I66" s="50">
        <f t="shared" si="10"/>
        <v>0</v>
      </c>
      <c r="J66" s="50" t="str">
        <f t="shared" si="11"/>
        <v/>
      </c>
      <c r="K66" s="50">
        <f t="shared" si="22"/>
        <v>0</v>
      </c>
      <c r="L66" s="59" t="str">
        <f t="shared" si="12"/>
        <v/>
      </c>
      <c r="M66" s="59" t="str">
        <f t="shared" si="13"/>
        <v/>
      </c>
      <c r="N66" s="59" t="str">
        <f t="shared" si="14"/>
        <v/>
      </c>
      <c r="O66" s="59">
        <f t="shared" si="15"/>
        <v>0.3</v>
      </c>
      <c r="P66" s="59">
        <f t="shared" si="19"/>
        <v>0.35</v>
      </c>
      <c r="Q66" s="59">
        <f t="shared" si="20"/>
        <v>0.35</v>
      </c>
      <c r="R66" s="60" t="str">
        <f t="shared" si="18"/>
        <v>Scenario 1: County Share 35%</v>
      </c>
      <c r="T66" s="31" t="str">
        <f t="shared" si="23"/>
        <v/>
      </c>
      <c r="U66" s="50" t="str">
        <f t="shared" si="24"/>
        <v/>
      </c>
      <c r="V66" s="50" t="str">
        <f t="shared" si="25"/>
        <v/>
      </c>
      <c r="W66" s="50" t="str">
        <f t="shared" si="26"/>
        <v/>
      </c>
      <c r="X66" s="39" t="str">
        <f t="shared" si="27"/>
        <v/>
      </c>
    </row>
    <row r="67" spans="1:24" x14ac:dyDescent="0.2">
      <c r="A67" s="13" t="s">
        <v>141</v>
      </c>
      <c r="B67" s="14" t="str">
        <f>IFERROR(_xlfn.XLOOKUP($A67,'County Contribution Actual'!B:B,'County Contribution Actual'!C:C),"")</f>
        <v/>
      </c>
      <c r="C67" s="50">
        <f>VLOOKUP(A67,'County Funding Level '!$A$2:$B$102,2,FALSE)</f>
        <v>40661647</v>
      </c>
      <c r="D67" s="31" t="str">
        <f>IFERROR(_xlfn.XLOOKUP($A67,'County Contribution Actual'!B:B,'County Contribution Actual'!D:D),"")</f>
        <v/>
      </c>
      <c r="E67" s="38" t="str">
        <f t="shared" si="21"/>
        <v>1</v>
      </c>
      <c r="G67" s="58">
        <f t="shared" si="8"/>
        <v>1</v>
      </c>
      <c r="H67" s="31">
        <f t="shared" si="9"/>
        <v>0</v>
      </c>
      <c r="I67" s="50">
        <f t="shared" si="10"/>
        <v>0</v>
      </c>
      <c r="J67" s="50" t="str">
        <f t="shared" si="11"/>
        <v/>
      </c>
      <c r="K67" s="50">
        <f t="shared" si="22"/>
        <v>0</v>
      </c>
      <c r="L67" s="59" t="str">
        <f t="shared" si="12"/>
        <v/>
      </c>
      <c r="M67" s="59" t="str">
        <f t="shared" si="13"/>
        <v/>
      </c>
      <c r="N67" s="59" t="str">
        <f t="shared" si="14"/>
        <v/>
      </c>
      <c r="O67" s="59">
        <f t="shared" si="15"/>
        <v>0.3</v>
      </c>
      <c r="P67" s="59">
        <f t="shared" si="19"/>
        <v>0.35</v>
      </c>
      <c r="Q67" s="59">
        <f t="shared" si="20"/>
        <v>0.35</v>
      </c>
      <c r="R67" s="60" t="str">
        <f t="shared" si="18"/>
        <v>Scenario 1: County Share 35%</v>
      </c>
      <c r="T67" s="31" t="str">
        <f t="shared" si="23"/>
        <v/>
      </c>
      <c r="U67" s="50" t="str">
        <f t="shared" si="24"/>
        <v/>
      </c>
      <c r="V67" s="50" t="str">
        <f t="shared" si="25"/>
        <v/>
      </c>
      <c r="W67" s="50" t="str">
        <f t="shared" si="26"/>
        <v/>
      </c>
      <c r="X67" s="39" t="str">
        <f t="shared" si="27"/>
        <v/>
      </c>
    </row>
    <row r="68" spans="1:24" x14ac:dyDescent="0.2">
      <c r="A68" s="13" t="s">
        <v>142</v>
      </c>
      <c r="B68" s="14" t="str">
        <f>IFERROR(_xlfn.XLOOKUP($A68,'County Contribution Actual'!B:B,'County Contribution Actual'!C:C),"")</f>
        <v/>
      </c>
      <c r="C68" s="50">
        <f>VLOOKUP(A68,'County Funding Level '!$A$2:$B$102,2,FALSE)</f>
        <v>10867437</v>
      </c>
      <c r="D68" s="31" t="str">
        <f>IFERROR(_xlfn.XLOOKUP($A68,'County Contribution Actual'!B:B,'County Contribution Actual'!D:D),"")</f>
        <v/>
      </c>
      <c r="E68" s="38" t="str">
        <f t="shared" ref="E68:E103" si="28">_xlfn.TEXTJOIN(" &amp; ",,IF(C68&gt;=$AB$5,$AA$5,""),IF(MEDIAN($AB$6,$AC$6,C68)=C68,$AA$6,""),IF(MEDIAN($AB$7,$AC$7,C68)=C68,$AA$7,""),IF(MEDIAN($AB$8,$AC$8,C68)=C68,$AA$8,""),IF(MEDIAN($AB$9,$AC$9,C68)=C68,$AA$9,""))</f>
        <v>1</v>
      </c>
      <c r="G68" s="58">
        <f t="shared" si="8"/>
        <v>1</v>
      </c>
      <c r="H68" s="31">
        <f t="shared" si="9"/>
        <v>0</v>
      </c>
      <c r="I68" s="50">
        <f t="shared" si="10"/>
        <v>0</v>
      </c>
      <c r="J68" s="50" t="str">
        <f t="shared" si="11"/>
        <v/>
      </c>
      <c r="K68" s="50">
        <f t="shared" ref="K68:K99" si="29">IFERROR(MIN(J68/P68*Q68,$AE$24),0)</f>
        <v>0</v>
      </c>
      <c r="L68" s="59" t="str">
        <f t="shared" si="12"/>
        <v/>
      </c>
      <c r="M68" s="59" t="str">
        <f t="shared" si="13"/>
        <v/>
      </c>
      <c r="N68" s="59" t="str">
        <f t="shared" si="14"/>
        <v/>
      </c>
      <c r="O68" s="59">
        <f t="shared" si="15"/>
        <v>0.3</v>
      </c>
      <c r="P68" s="59">
        <f t="shared" si="19"/>
        <v>0.35</v>
      </c>
      <c r="Q68" s="59">
        <f t="shared" si="20"/>
        <v>0.35</v>
      </c>
      <c r="R68" s="60" t="str">
        <f t="shared" si="18"/>
        <v>Scenario 1: County Share 35%</v>
      </c>
      <c r="T68" s="31" t="str">
        <f t="shared" ref="T68:T103" si="30">IFERROR(IF(E68="1","",$D68/IF($E68="4 &amp; 5",AC$19,IF($E68="2 &amp; 3",AC$17,_xlfn.XLOOKUP($E68,$Z$15:$Z$19,$AC$15:$AC$19)))),"")</f>
        <v/>
      </c>
      <c r="U68" s="50" t="str">
        <f t="shared" ref="U68:U103" si="31">IFERROR($T68*IF($E68="4 &amp; 5",AB$19,IF($E68="2 &amp; 3",AB$17,_xlfn.XLOOKUP($E68,$Z$15:$Z$19,AB$15:AB$19))),"")</f>
        <v/>
      </c>
      <c r="V68" s="50" t="str">
        <f t="shared" ref="V68:V103" si="32">IFERROR($T68*IF($E68="4 &amp; 5",AC$19,IF($E68="2 &amp; 3",AC$17,_xlfn.XLOOKUP($E68,$Z$15:$Z$19,AC$15:AC$19))),"")</f>
        <v/>
      </c>
      <c r="W68" s="50" t="str">
        <f t="shared" ref="W68:W103" si="33">IFERROR($T68*IF($E68="4 &amp; 5",AD$19,IF($E68="2 &amp; 3",AD$17,_xlfn.XLOOKUP($E68,$Z$15:$Z$19,AD$15:AD$19))),"")</f>
        <v/>
      </c>
      <c r="X68" s="39" t="str">
        <f t="shared" ref="X68:X103" si="34">IF(E68="1","",IF($E68="4 &amp; 5",$AE$19,IF($E68="2 &amp; 3",$AE$17,_xlfn.XLOOKUP($E68,$Z$15:$Z$19,$AE$15:$AE$19))))</f>
        <v/>
      </c>
    </row>
    <row r="69" spans="1:24" x14ac:dyDescent="0.2">
      <c r="A69" s="13" t="s">
        <v>143</v>
      </c>
      <c r="B69" s="14" t="str">
        <f>IFERROR(_xlfn.XLOOKUP($A69,'County Contribution Actual'!B:B,'County Contribution Actual'!C:C),"")</f>
        <v/>
      </c>
      <c r="C69" s="50">
        <f>VLOOKUP(A69,'County Funding Level '!$A$2:$B$102,2,FALSE)</f>
        <v>16726052</v>
      </c>
      <c r="D69" s="31" t="str">
        <f>IFERROR(_xlfn.XLOOKUP($A69,'County Contribution Actual'!B:B,'County Contribution Actual'!D:D),"")</f>
        <v/>
      </c>
      <c r="E69" s="38" t="str">
        <f t="shared" si="28"/>
        <v>1</v>
      </c>
      <c r="G69" s="58">
        <f t="shared" ref="G69:G103" si="35">_xlfn.XLOOKUP(C69,$AD$24:$AD$26,$Z$24:$Z$26,,-1)</f>
        <v>1</v>
      </c>
      <c r="H69" s="31">
        <f t="shared" ref="H69:H103" si="36">SUM(J69:K69)/SUM(P69:Q69)</f>
        <v>0</v>
      </c>
      <c r="I69" s="50">
        <f t="shared" ref="I69:I103" si="37">H69-SUM(J69:K69)</f>
        <v>0</v>
      </c>
      <c r="J69" s="50" t="str">
        <f t="shared" ref="J69:J103" si="38">D69</f>
        <v/>
      </c>
      <c r="K69" s="50">
        <f t="shared" si="29"/>
        <v>0</v>
      </c>
      <c r="L69" s="59" t="str">
        <f t="shared" ref="L69:L103" si="39">IFERROR(I69/$H69,"")</f>
        <v/>
      </c>
      <c r="M69" s="59" t="str">
        <f t="shared" ref="M69:M103" si="40">IFERROR(J69/$H69,"")</f>
        <v/>
      </c>
      <c r="N69" s="59" t="str">
        <f t="shared" ref="N69:N103" si="41">IFERROR(K69/$H69,"")</f>
        <v/>
      </c>
      <c r="O69" s="59">
        <f t="shared" ref="O69:O103" si="42">LOOKUP($G69,$Z$24:$Z$26,AA$24:AA$26)</f>
        <v>0.3</v>
      </c>
      <c r="P69" s="59">
        <f t="shared" si="19"/>
        <v>0.35</v>
      </c>
      <c r="Q69" s="59">
        <f t="shared" si="20"/>
        <v>0.35</v>
      </c>
      <c r="R69" s="60" t="str">
        <f t="shared" ref="R69:R103" si="43">IF($E69="5 &amp; 4",$AE$18,IF($E69="3 &amp; 2",$AE$16,_xlfn.XLOOKUP($E69,$Z$15:$Z$19,$AE$15:$AE$19)))</f>
        <v>Scenario 1: County Share 35%</v>
      </c>
      <c r="T69" s="31" t="str">
        <f t="shared" si="30"/>
        <v/>
      </c>
      <c r="U69" s="50" t="str">
        <f t="shared" si="31"/>
        <v/>
      </c>
      <c r="V69" s="50" t="str">
        <f t="shared" si="32"/>
        <v/>
      </c>
      <c r="W69" s="50" t="str">
        <f t="shared" si="33"/>
        <v/>
      </c>
      <c r="X69" s="39" t="str">
        <f t="shared" si="34"/>
        <v/>
      </c>
    </row>
    <row r="70" spans="1:24" x14ac:dyDescent="0.2">
      <c r="A70" s="13" t="s">
        <v>144</v>
      </c>
      <c r="B70" s="14" t="str">
        <f>IFERROR(_xlfn.XLOOKUP($A70,'County Contribution Actual'!B:B,'County Contribution Actual'!C:C),"")</f>
        <v>yes</v>
      </c>
      <c r="C70" s="50">
        <f>VLOOKUP(A70,'County Funding Level '!$A$2:$B$102,2,FALSE)</f>
        <v>6964996</v>
      </c>
      <c r="D70" s="31">
        <f>IFERROR(_xlfn.XLOOKUP($A70,'County Contribution Actual'!B:B,'County Contribution Actual'!D:D),"")</f>
        <v>1067000</v>
      </c>
      <c r="E70" s="38" t="str">
        <f t="shared" si="28"/>
        <v>2 &amp; 3</v>
      </c>
      <c r="G70" s="58">
        <f t="shared" si="35"/>
        <v>2</v>
      </c>
      <c r="H70" s="31">
        <f t="shared" si="36"/>
        <v>10667058.823529413</v>
      </c>
      <c r="I70" s="50">
        <f t="shared" si="37"/>
        <v>1600058.823529413</v>
      </c>
      <c r="J70" s="50">
        <f t="shared" si="38"/>
        <v>1067000</v>
      </c>
      <c r="K70" s="50">
        <f t="shared" si="29"/>
        <v>8000000</v>
      </c>
      <c r="L70" s="59">
        <f t="shared" si="39"/>
        <v>0.15000000000000011</v>
      </c>
      <c r="M70" s="59">
        <f t="shared" si="40"/>
        <v>0.10002757251571633</v>
      </c>
      <c r="N70" s="59">
        <f t="shared" si="41"/>
        <v>0.74997242748428361</v>
      </c>
      <c r="O70" s="59">
        <f t="shared" si="42"/>
        <v>0.15</v>
      </c>
      <c r="P70" s="59">
        <f t="shared" si="19"/>
        <v>0.1</v>
      </c>
      <c r="Q70" s="59">
        <f t="shared" si="20"/>
        <v>0.75</v>
      </c>
      <c r="R70" s="60" t="str">
        <f t="shared" si="43"/>
        <v>Scenario 2: County Share 10%</v>
      </c>
      <c r="T70" s="31">
        <f t="shared" si="30"/>
        <v>2510588.2352941176</v>
      </c>
      <c r="U70" s="50">
        <f t="shared" si="31"/>
        <v>376588.23529411765</v>
      </c>
      <c r="V70" s="50">
        <f t="shared" si="32"/>
        <v>1067000</v>
      </c>
      <c r="W70" s="50">
        <f t="shared" si="33"/>
        <v>1067000</v>
      </c>
      <c r="X70" s="39" t="str">
        <f t="shared" si="34"/>
        <v>Scenario 3: County Share 42.5%</v>
      </c>
    </row>
    <row r="71" spans="1:24" x14ac:dyDescent="0.2">
      <c r="A71" s="13" t="s">
        <v>145</v>
      </c>
      <c r="B71" s="14" t="str">
        <f>IFERROR(_xlfn.XLOOKUP($A71,'County Contribution Actual'!B:B,'County Contribution Actual'!C:C),"")</f>
        <v/>
      </c>
      <c r="C71" s="50">
        <f>VLOOKUP(A71,'County Funding Level '!$A$2:$B$102,2,FALSE)</f>
        <v>4225654</v>
      </c>
      <c r="D71" s="31" t="str">
        <f>IFERROR(_xlfn.XLOOKUP($A71,'County Contribution Actual'!B:B,'County Contribution Actual'!D:D),"")</f>
        <v/>
      </c>
      <c r="E71" s="38" t="str">
        <f t="shared" si="28"/>
        <v>2 &amp; 3</v>
      </c>
      <c r="G71" s="58">
        <f t="shared" si="35"/>
        <v>2</v>
      </c>
      <c r="H71" s="31">
        <f t="shared" si="36"/>
        <v>0</v>
      </c>
      <c r="I71" s="50">
        <f t="shared" si="37"/>
        <v>0</v>
      </c>
      <c r="J71" s="50" t="str">
        <f t="shared" si="38"/>
        <v/>
      </c>
      <c r="K71" s="50">
        <f t="shared" si="29"/>
        <v>0</v>
      </c>
      <c r="L71" s="59" t="str">
        <f t="shared" si="39"/>
        <v/>
      </c>
      <c r="M71" s="59" t="str">
        <f t="shared" si="40"/>
        <v/>
      </c>
      <c r="N71" s="59" t="str">
        <f t="shared" si="41"/>
        <v/>
      </c>
      <c r="O71" s="59">
        <f t="shared" si="42"/>
        <v>0.15</v>
      </c>
      <c r="P71" s="59">
        <f t="shared" si="19"/>
        <v>0.1</v>
      </c>
      <c r="Q71" s="59">
        <f t="shared" si="20"/>
        <v>0.75</v>
      </c>
      <c r="R71" s="60" t="str">
        <f t="shared" si="43"/>
        <v>Scenario 2: County Share 10%</v>
      </c>
      <c r="T71" s="31" t="str">
        <f t="shared" si="30"/>
        <v/>
      </c>
      <c r="U71" s="50" t="str">
        <f t="shared" si="31"/>
        <v/>
      </c>
      <c r="V71" s="50" t="str">
        <f t="shared" si="32"/>
        <v/>
      </c>
      <c r="W71" s="50" t="str">
        <f t="shared" si="33"/>
        <v/>
      </c>
      <c r="X71" s="39" t="str">
        <f t="shared" si="34"/>
        <v>Scenario 3: County Share 42.5%</v>
      </c>
    </row>
    <row r="72" spans="1:24" x14ac:dyDescent="0.2">
      <c r="A72" s="13" t="s">
        <v>146</v>
      </c>
      <c r="B72" s="14" t="str">
        <f>IFERROR(_xlfn.XLOOKUP($A72,'County Contribution Actual'!B:B,'County Contribution Actual'!C:C),"")</f>
        <v>yes</v>
      </c>
      <c r="C72" s="50">
        <f>VLOOKUP(A72,'County Funding Level '!$A$2:$B$102,2,FALSE)</f>
        <v>4358707</v>
      </c>
      <c r="D72" s="31">
        <f>IFERROR(_xlfn.XLOOKUP($A72,'County Contribution Actual'!B:B,'County Contribution Actual'!D:D),"")</f>
        <v>400000</v>
      </c>
      <c r="E72" s="38" t="str">
        <f t="shared" si="28"/>
        <v>2 &amp; 3</v>
      </c>
      <c r="G72" s="58">
        <f t="shared" si="35"/>
        <v>2</v>
      </c>
      <c r="H72" s="31">
        <f t="shared" si="36"/>
        <v>4000000</v>
      </c>
      <c r="I72" s="50">
        <f t="shared" si="37"/>
        <v>600000</v>
      </c>
      <c r="J72" s="50">
        <f t="shared" si="38"/>
        <v>400000</v>
      </c>
      <c r="K72" s="50">
        <f t="shared" si="29"/>
        <v>3000000</v>
      </c>
      <c r="L72" s="59">
        <f t="shared" si="39"/>
        <v>0.15</v>
      </c>
      <c r="M72" s="59">
        <f t="shared" si="40"/>
        <v>0.1</v>
      </c>
      <c r="N72" s="59">
        <f t="shared" si="41"/>
        <v>0.75</v>
      </c>
      <c r="O72" s="59">
        <f t="shared" si="42"/>
        <v>0.15</v>
      </c>
      <c r="P72" s="59">
        <f t="shared" si="19"/>
        <v>0.1</v>
      </c>
      <c r="Q72" s="59">
        <f t="shared" si="20"/>
        <v>0.75</v>
      </c>
      <c r="R72" s="60" t="str">
        <f t="shared" si="43"/>
        <v>Scenario 2: County Share 10%</v>
      </c>
      <c r="T72" s="31">
        <f t="shared" si="30"/>
        <v>941176.4705882353</v>
      </c>
      <c r="U72" s="50">
        <f t="shared" si="31"/>
        <v>141176.4705882353</v>
      </c>
      <c r="V72" s="50">
        <f t="shared" si="32"/>
        <v>400000</v>
      </c>
      <c r="W72" s="50">
        <f t="shared" si="33"/>
        <v>400000</v>
      </c>
      <c r="X72" s="39" t="str">
        <f t="shared" si="34"/>
        <v>Scenario 3: County Share 42.5%</v>
      </c>
    </row>
    <row r="73" spans="1:24" x14ac:dyDescent="0.2">
      <c r="A73" s="13" t="s">
        <v>147</v>
      </c>
      <c r="B73" s="14" t="str">
        <f>IFERROR(_xlfn.XLOOKUP($A73,'County Contribution Actual'!B:B,'County Contribution Actual'!C:C),"")</f>
        <v/>
      </c>
      <c r="C73" s="50">
        <f>VLOOKUP(A73,'County Funding Level '!$A$2:$B$102,2,FALSE)</f>
        <v>215673636</v>
      </c>
      <c r="D73" s="31" t="str">
        <f>IFERROR(_xlfn.XLOOKUP($A73,'County Contribution Actual'!B:B,'County Contribution Actual'!D:D),"")</f>
        <v/>
      </c>
      <c r="E73" s="38" t="str">
        <f t="shared" si="28"/>
        <v>1</v>
      </c>
      <c r="G73" s="58">
        <f t="shared" si="35"/>
        <v>1</v>
      </c>
      <c r="H73" s="31">
        <f t="shared" si="36"/>
        <v>0</v>
      </c>
      <c r="I73" s="50">
        <f t="shared" si="37"/>
        <v>0</v>
      </c>
      <c r="J73" s="50" t="str">
        <f t="shared" si="38"/>
        <v/>
      </c>
      <c r="K73" s="50">
        <f t="shared" si="29"/>
        <v>0</v>
      </c>
      <c r="L73" s="59" t="str">
        <f t="shared" si="39"/>
        <v/>
      </c>
      <c r="M73" s="59" t="str">
        <f t="shared" si="40"/>
        <v/>
      </c>
      <c r="N73" s="59" t="str">
        <f t="shared" si="41"/>
        <v/>
      </c>
      <c r="O73" s="59">
        <f t="shared" si="42"/>
        <v>0.3</v>
      </c>
      <c r="P73" s="59">
        <f t="shared" si="19"/>
        <v>0.35</v>
      </c>
      <c r="Q73" s="59">
        <f t="shared" si="20"/>
        <v>0.35</v>
      </c>
      <c r="R73" s="60" t="str">
        <f t="shared" si="43"/>
        <v>Scenario 1: County Share 35%</v>
      </c>
      <c r="T73" s="31" t="str">
        <f t="shared" si="30"/>
        <v/>
      </c>
      <c r="U73" s="50" t="str">
        <f t="shared" si="31"/>
        <v/>
      </c>
      <c r="V73" s="50" t="str">
        <f t="shared" si="32"/>
        <v/>
      </c>
      <c r="W73" s="50" t="str">
        <f t="shared" si="33"/>
        <v/>
      </c>
      <c r="X73" s="39" t="str">
        <f t="shared" si="34"/>
        <v/>
      </c>
    </row>
    <row r="74" spans="1:24" x14ac:dyDescent="0.2">
      <c r="A74" s="13" t="s">
        <v>148</v>
      </c>
      <c r="B74" s="14" t="str">
        <f>IFERROR(_xlfn.XLOOKUP($A74,'County Contribution Actual'!B:B,'County Contribution Actual'!C:C),"")</f>
        <v/>
      </c>
      <c r="C74" s="50">
        <f>VLOOKUP(A74,'County Funding Level '!$A$2:$B$102,2,FALSE)</f>
        <v>2906582</v>
      </c>
      <c r="D74" s="31" t="str">
        <f>IFERROR(_xlfn.XLOOKUP($A74,'County Contribution Actual'!B:B,'County Contribution Actual'!D:D),"")</f>
        <v/>
      </c>
      <c r="E74" s="38" t="str">
        <f t="shared" si="28"/>
        <v>4 &amp; 5</v>
      </c>
      <c r="G74" s="58">
        <f t="shared" si="35"/>
        <v>3</v>
      </c>
      <c r="H74" s="31">
        <f t="shared" si="36"/>
        <v>0</v>
      </c>
      <c r="I74" s="50">
        <f t="shared" si="37"/>
        <v>0</v>
      </c>
      <c r="J74" s="50" t="str">
        <f t="shared" si="38"/>
        <v/>
      </c>
      <c r="K74" s="50">
        <f t="shared" si="29"/>
        <v>0</v>
      </c>
      <c r="L74" s="59" t="str">
        <f t="shared" si="39"/>
        <v/>
      </c>
      <c r="M74" s="59" t="str">
        <f t="shared" si="40"/>
        <v/>
      </c>
      <c r="N74" s="59" t="str">
        <f t="shared" si="41"/>
        <v/>
      </c>
      <c r="O74" s="59">
        <f t="shared" si="42"/>
        <v>0.15</v>
      </c>
      <c r="P74" s="59">
        <f t="shared" si="19"/>
        <v>0.05</v>
      </c>
      <c r="Q74" s="59">
        <f t="shared" si="20"/>
        <v>0.8</v>
      </c>
      <c r="R74" s="60" t="str">
        <f t="shared" si="43"/>
        <v>Scenario 4: County Share 5%</v>
      </c>
      <c r="T74" s="31" t="str">
        <f t="shared" si="30"/>
        <v/>
      </c>
      <c r="U74" s="50" t="str">
        <f t="shared" si="31"/>
        <v/>
      </c>
      <c r="V74" s="50" t="str">
        <f t="shared" si="32"/>
        <v/>
      </c>
      <c r="W74" s="50" t="str">
        <f t="shared" si="33"/>
        <v/>
      </c>
      <c r="X74" s="39" t="str">
        <f t="shared" si="34"/>
        <v>Scenario 5: County Share 42.5%</v>
      </c>
    </row>
    <row r="75" spans="1:24" x14ac:dyDescent="0.2">
      <c r="A75" s="13" t="s">
        <v>149</v>
      </c>
      <c r="B75" s="14" t="str">
        <f>IFERROR(_xlfn.XLOOKUP($A75,'County Contribution Actual'!B:B,'County Contribution Actual'!C:C),"")</f>
        <v/>
      </c>
      <c r="C75" s="50">
        <f>VLOOKUP(A75,'County Funding Level '!$A$2:$B$102,2,FALSE)</f>
        <v>5278037</v>
      </c>
      <c r="D75" s="31" t="str">
        <f>IFERROR(_xlfn.XLOOKUP($A75,'County Contribution Actual'!B:B,'County Contribution Actual'!D:D),"")</f>
        <v/>
      </c>
      <c r="E75" s="38" t="str">
        <f t="shared" si="28"/>
        <v>2 &amp; 3</v>
      </c>
      <c r="G75" s="58">
        <f t="shared" si="35"/>
        <v>2</v>
      </c>
      <c r="H75" s="31">
        <f t="shared" si="36"/>
        <v>0</v>
      </c>
      <c r="I75" s="50">
        <f t="shared" si="37"/>
        <v>0</v>
      </c>
      <c r="J75" s="50" t="str">
        <f t="shared" si="38"/>
        <v/>
      </c>
      <c r="K75" s="50">
        <f t="shared" si="29"/>
        <v>0</v>
      </c>
      <c r="L75" s="59" t="str">
        <f t="shared" si="39"/>
        <v/>
      </c>
      <c r="M75" s="59" t="str">
        <f t="shared" si="40"/>
        <v/>
      </c>
      <c r="N75" s="59" t="str">
        <f t="shared" si="41"/>
        <v/>
      </c>
      <c r="O75" s="59">
        <f t="shared" si="42"/>
        <v>0.15</v>
      </c>
      <c r="P75" s="59">
        <f t="shared" si="19"/>
        <v>0.1</v>
      </c>
      <c r="Q75" s="59">
        <f t="shared" si="20"/>
        <v>0.75</v>
      </c>
      <c r="R75" s="60" t="str">
        <f t="shared" si="43"/>
        <v>Scenario 2: County Share 10%</v>
      </c>
      <c r="T75" s="31" t="str">
        <f t="shared" si="30"/>
        <v/>
      </c>
      <c r="U75" s="50" t="str">
        <f t="shared" si="31"/>
        <v/>
      </c>
      <c r="V75" s="50" t="str">
        <f t="shared" si="32"/>
        <v/>
      </c>
      <c r="W75" s="50" t="str">
        <f t="shared" si="33"/>
        <v/>
      </c>
      <c r="X75" s="39" t="str">
        <f t="shared" si="34"/>
        <v>Scenario 3: County Share 42.5%</v>
      </c>
    </row>
    <row r="76" spans="1:24" x14ac:dyDescent="0.2">
      <c r="A76" s="13" t="s">
        <v>150</v>
      </c>
      <c r="B76" s="14" t="str">
        <f>IFERROR(_xlfn.XLOOKUP($A76,'County Contribution Actual'!B:B,'County Contribution Actual'!C:C),"")</f>
        <v/>
      </c>
      <c r="C76" s="50">
        <f>VLOOKUP(A76,'County Funding Level '!$A$2:$B$102,2,FALSE)</f>
        <v>19594757</v>
      </c>
      <c r="D76" s="31" t="str">
        <f>IFERROR(_xlfn.XLOOKUP($A76,'County Contribution Actual'!B:B,'County Contribution Actual'!D:D),"")</f>
        <v/>
      </c>
      <c r="E76" s="38" t="str">
        <f t="shared" si="28"/>
        <v>1</v>
      </c>
      <c r="G76" s="58">
        <f t="shared" si="35"/>
        <v>1</v>
      </c>
      <c r="H76" s="31">
        <f t="shared" si="36"/>
        <v>0</v>
      </c>
      <c r="I76" s="50">
        <f t="shared" si="37"/>
        <v>0</v>
      </c>
      <c r="J76" s="50" t="str">
        <f t="shared" si="38"/>
        <v/>
      </c>
      <c r="K76" s="50">
        <f t="shared" si="29"/>
        <v>0</v>
      </c>
      <c r="L76" s="59" t="str">
        <f t="shared" si="39"/>
        <v/>
      </c>
      <c r="M76" s="59" t="str">
        <f t="shared" si="40"/>
        <v/>
      </c>
      <c r="N76" s="59" t="str">
        <f t="shared" si="41"/>
        <v/>
      </c>
      <c r="O76" s="59">
        <f t="shared" si="42"/>
        <v>0.3</v>
      </c>
      <c r="P76" s="59">
        <f t="shared" si="19"/>
        <v>0.35</v>
      </c>
      <c r="Q76" s="59">
        <f t="shared" si="20"/>
        <v>0.35</v>
      </c>
      <c r="R76" s="60" t="str">
        <f t="shared" si="43"/>
        <v>Scenario 1: County Share 35%</v>
      </c>
      <c r="T76" s="31" t="str">
        <f t="shared" si="30"/>
        <v/>
      </c>
      <c r="U76" s="50" t="str">
        <f t="shared" si="31"/>
        <v/>
      </c>
      <c r="V76" s="50" t="str">
        <f t="shared" si="32"/>
        <v/>
      </c>
      <c r="W76" s="50" t="str">
        <f t="shared" si="33"/>
        <v/>
      </c>
      <c r="X76" s="39" t="str">
        <f t="shared" si="34"/>
        <v/>
      </c>
    </row>
    <row r="77" spans="1:24" x14ac:dyDescent="0.2">
      <c r="A77" s="13" t="s">
        <v>151</v>
      </c>
      <c r="B77" s="14" t="str">
        <f>IFERROR(_xlfn.XLOOKUP($A77,'County Contribution Actual'!B:B,'County Contribution Actual'!C:C),"")</f>
        <v>yes</v>
      </c>
      <c r="C77" s="50">
        <f>VLOOKUP(A77,'County Funding Level '!$A$2:$B$102,2,FALSE)</f>
        <v>18316281</v>
      </c>
      <c r="D77" s="31">
        <f>IFERROR(_xlfn.XLOOKUP($A77,'County Contribution Actual'!B:B,'County Contribution Actual'!D:D),"")</f>
        <v>4000000</v>
      </c>
      <c r="E77" s="38" t="str">
        <f t="shared" si="28"/>
        <v>1</v>
      </c>
      <c r="G77" s="58">
        <f t="shared" si="35"/>
        <v>1</v>
      </c>
      <c r="H77" s="31">
        <f t="shared" si="36"/>
        <v>11428571.428571429</v>
      </c>
      <c r="I77" s="50">
        <f t="shared" si="37"/>
        <v>3428571.4285714291</v>
      </c>
      <c r="J77" s="50">
        <f t="shared" si="38"/>
        <v>4000000</v>
      </c>
      <c r="K77" s="50">
        <f t="shared" si="29"/>
        <v>4000000</v>
      </c>
      <c r="L77" s="59">
        <f t="shared" si="39"/>
        <v>0.30000000000000004</v>
      </c>
      <c r="M77" s="59">
        <f t="shared" si="40"/>
        <v>0.35</v>
      </c>
      <c r="N77" s="59">
        <f t="shared" si="41"/>
        <v>0.35</v>
      </c>
      <c r="O77" s="59">
        <f t="shared" si="42"/>
        <v>0.3</v>
      </c>
      <c r="P77" s="59">
        <f t="shared" si="19"/>
        <v>0.35</v>
      </c>
      <c r="Q77" s="59">
        <f t="shared" si="20"/>
        <v>0.35</v>
      </c>
      <c r="R77" s="60" t="str">
        <f t="shared" si="43"/>
        <v>Scenario 1: County Share 35%</v>
      </c>
      <c r="T77" s="31" t="str">
        <f t="shared" si="30"/>
        <v/>
      </c>
      <c r="U77" s="50" t="str">
        <f t="shared" si="31"/>
        <v/>
      </c>
      <c r="V77" s="50" t="str">
        <f t="shared" si="32"/>
        <v/>
      </c>
      <c r="W77" s="50" t="str">
        <f t="shared" si="33"/>
        <v/>
      </c>
      <c r="X77" s="39" t="str">
        <f t="shared" si="34"/>
        <v/>
      </c>
    </row>
    <row r="78" spans="1:24" x14ac:dyDescent="0.2">
      <c r="A78" s="13" t="s">
        <v>152</v>
      </c>
      <c r="B78" s="14" t="str">
        <f>IFERROR(_xlfn.XLOOKUP($A78,'County Contribution Actual'!B:B,'County Contribution Actual'!C:C),"")</f>
        <v/>
      </c>
      <c r="C78" s="50">
        <f>VLOOKUP(A78,'County Funding Level '!$A$2:$B$102,2,FALSE)</f>
        <v>45543632</v>
      </c>
      <c r="D78" s="31" t="str">
        <f>IFERROR(_xlfn.XLOOKUP($A78,'County Contribution Actual'!B:B,'County Contribution Actual'!D:D),"")</f>
        <v/>
      </c>
      <c r="E78" s="38" t="str">
        <f t="shared" si="28"/>
        <v>1</v>
      </c>
      <c r="G78" s="58">
        <f t="shared" si="35"/>
        <v>1</v>
      </c>
      <c r="H78" s="31">
        <f t="shared" si="36"/>
        <v>0</v>
      </c>
      <c r="I78" s="50">
        <f t="shared" si="37"/>
        <v>0</v>
      </c>
      <c r="J78" s="50" t="str">
        <f t="shared" si="38"/>
        <v/>
      </c>
      <c r="K78" s="50">
        <f t="shared" si="29"/>
        <v>0</v>
      </c>
      <c r="L78" s="59" t="str">
        <f t="shared" si="39"/>
        <v/>
      </c>
      <c r="M78" s="59" t="str">
        <f t="shared" si="40"/>
        <v/>
      </c>
      <c r="N78" s="59" t="str">
        <f t="shared" si="41"/>
        <v/>
      </c>
      <c r="O78" s="59">
        <f t="shared" si="42"/>
        <v>0.3</v>
      </c>
      <c r="P78" s="59">
        <f t="shared" si="19"/>
        <v>0.35</v>
      </c>
      <c r="Q78" s="59">
        <f t="shared" si="20"/>
        <v>0.35</v>
      </c>
      <c r="R78" s="60" t="str">
        <f t="shared" si="43"/>
        <v>Scenario 1: County Share 35%</v>
      </c>
      <c r="T78" s="31" t="str">
        <f t="shared" si="30"/>
        <v/>
      </c>
      <c r="U78" s="50" t="str">
        <f t="shared" si="31"/>
        <v/>
      </c>
      <c r="V78" s="50" t="str">
        <f t="shared" si="32"/>
        <v/>
      </c>
      <c r="W78" s="50" t="str">
        <f t="shared" si="33"/>
        <v/>
      </c>
      <c r="X78" s="39" t="str">
        <f t="shared" si="34"/>
        <v/>
      </c>
    </row>
    <row r="79" spans="1:24" x14ac:dyDescent="0.2">
      <c r="A79" s="13" t="s">
        <v>153</v>
      </c>
      <c r="B79" s="14" t="str">
        <f>IFERROR(_xlfn.XLOOKUP($A79,'County Contribution Actual'!B:B,'County Contribution Actual'!C:C),"")</f>
        <v>yes</v>
      </c>
      <c r="C79" s="50">
        <f>VLOOKUP(A79,'County Funding Level '!$A$2:$B$102,2,FALSE)</f>
        <v>3784344</v>
      </c>
      <c r="D79" s="31">
        <f>IFERROR(_xlfn.XLOOKUP($A79,'County Contribution Actual'!B:B,'County Contribution Actual'!D:D),"")</f>
        <v>500000</v>
      </c>
      <c r="E79" s="38" t="str">
        <f t="shared" si="28"/>
        <v>4 &amp; 5</v>
      </c>
      <c r="G79" s="58">
        <f t="shared" si="35"/>
        <v>3</v>
      </c>
      <c r="H79" s="31">
        <f t="shared" si="36"/>
        <v>9999999.9999999981</v>
      </c>
      <c r="I79" s="50">
        <f t="shared" si="37"/>
        <v>1499999.9999999981</v>
      </c>
      <c r="J79" s="50">
        <f t="shared" si="38"/>
        <v>500000</v>
      </c>
      <c r="K79" s="50">
        <f t="shared" si="29"/>
        <v>8000000</v>
      </c>
      <c r="L79" s="59">
        <f t="shared" si="39"/>
        <v>0.14999999999999983</v>
      </c>
      <c r="M79" s="59">
        <f t="shared" si="40"/>
        <v>5.000000000000001E-2</v>
      </c>
      <c r="N79" s="59">
        <f t="shared" si="41"/>
        <v>0.80000000000000016</v>
      </c>
      <c r="O79" s="59">
        <f t="shared" si="42"/>
        <v>0.15</v>
      </c>
      <c r="P79" s="59">
        <f t="shared" si="19"/>
        <v>0.05</v>
      </c>
      <c r="Q79" s="59">
        <f t="shared" si="20"/>
        <v>0.8</v>
      </c>
      <c r="R79" s="60" t="str">
        <f t="shared" si="43"/>
        <v>Scenario 4: County Share 5%</v>
      </c>
      <c r="T79" s="31">
        <f t="shared" si="30"/>
        <v>1176470.5882352942</v>
      </c>
      <c r="U79" s="50">
        <f t="shared" si="31"/>
        <v>176470.58823529413</v>
      </c>
      <c r="V79" s="50">
        <f t="shared" si="32"/>
        <v>500000</v>
      </c>
      <c r="W79" s="50">
        <f t="shared" si="33"/>
        <v>500000</v>
      </c>
      <c r="X79" s="39" t="str">
        <f t="shared" si="34"/>
        <v>Scenario 5: County Share 42.5%</v>
      </c>
    </row>
    <row r="80" spans="1:24" x14ac:dyDescent="0.2">
      <c r="A80" s="13" t="s">
        <v>154</v>
      </c>
      <c r="B80" s="14" t="str">
        <f>IFERROR(_xlfn.XLOOKUP($A80,'County Contribution Actual'!B:B,'County Contribution Actual'!C:C),"")</f>
        <v/>
      </c>
      <c r="C80" s="50">
        <f>VLOOKUP(A80,'County Funding Level '!$A$2:$B$102,2,FALSE)</f>
        <v>38447136</v>
      </c>
      <c r="D80" s="31" t="str">
        <f>IFERROR(_xlfn.XLOOKUP($A80,'County Contribution Actual'!B:B,'County Contribution Actual'!D:D),"")</f>
        <v/>
      </c>
      <c r="E80" s="38" t="str">
        <f t="shared" si="28"/>
        <v>1</v>
      </c>
      <c r="G80" s="58">
        <f t="shared" si="35"/>
        <v>1</v>
      </c>
      <c r="H80" s="31">
        <f t="shared" si="36"/>
        <v>0</v>
      </c>
      <c r="I80" s="50">
        <f t="shared" si="37"/>
        <v>0</v>
      </c>
      <c r="J80" s="50" t="str">
        <f t="shared" si="38"/>
        <v/>
      </c>
      <c r="K80" s="50">
        <f t="shared" si="29"/>
        <v>0</v>
      </c>
      <c r="L80" s="59" t="str">
        <f t="shared" si="39"/>
        <v/>
      </c>
      <c r="M80" s="59" t="str">
        <f t="shared" si="40"/>
        <v/>
      </c>
      <c r="N80" s="59" t="str">
        <f t="shared" si="41"/>
        <v/>
      </c>
      <c r="O80" s="59">
        <f t="shared" si="42"/>
        <v>0.3</v>
      </c>
      <c r="P80" s="59">
        <f t="shared" si="19"/>
        <v>0.35</v>
      </c>
      <c r="Q80" s="59">
        <f t="shared" si="20"/>
        <v>0.35</v>
      </c>
      <c r="R80" s="60" t="str">
        <f t="shared" si="43"/>
        <v>Scenario 1: County Share 35%</v>
      </c>
      <c r="T80" s="31" t="str">
        <f t="shared" si="30"/>
        <v/>
      </c>
      <c r="U80" s="50" t="str">
        <f t="shared" si="31"/>
        <v/>
      </c>
      <c r="V80" s="50" t="str">
        <f t="shared" si="32"/>
        <v/>
      </c>
      <c r="W80" s="50" t="str">
        <f t="shared" si="33"/>
        <v/>
      </c>
      <c r="X80" s="39" t="str">
        <f t="shared" si="34"/>
        <v/>
      </c>
    </row>
    <row r="81" spans="1:24" x14ac:dyDescent="0.2">
      <c r="A81" s="13" t="s">
        <v>155</v>
      </c>
      <c r="B81" s="14" t="str">
        <f>IFERROR(_xlfn.XLOOKUP($A81,'County Contribution Actual'!B:B,'County Contribution Actual'!C:C),"")</f>
        <v/>
      </c>
      <c r="C81" s="50">
        <f>VLOOKUP(A81,'County Funding Level '!$A$2:$B$102,2,FALSE)</f>
        <v>28839722</v>
      </c>
      <c r="D81" s="31" t="str">
        <f>IFERROR(_xlfn.XLOOKUP($A81,'County Contribution Actual'!B:B,'County Contribution Actual'!D:D),"")</f>
        <v/>
      </c>
      <c r="E81" s="38" t="str">
        <f t="shared" si="28"/>
        <v>1</v>
      </c>
      <c r="G81" s="58">
        <f t="shared" si="35"/>
        <v>1</v>
      </c>
      <c r="H81" s="31">
        <f t="shared" si="36"/>
        <v>0</v>
      </c>
      <c r="I81" s="50">
        <f t="shared" si="37"/>
        <v>0</v>
      </c>
      <c r="J81" s="50" t="str">
        <f t="shared" si="38"/>
        <v/>
      </c>
      <c r="K81" s="50">
        <f t="shared" si="29"/>
        <v>0</v>
      </c>
      <c r="L81" s="59" t="str">
        <f t="shared" si="39"/>
        <v/>
      </c>
      <c r="M81" s="59" t="str">
        <f t="shared" si="40"/>
        <v/>
      </c>
      <c r="N81" s="59" t="str">
        <f t="shared" si="41"/>
        <v/>
      </c>
      <c r="O81" s="59">
        <f t="shared" si="42"/>
        <v>0.3</v>
      </c>
      <c r="P81" s="59">
        <f t="shared" si="19"/>
        <v>0.35</v>
      </c>
      <c r="Q81" s="59">
        <f t="shared" si="20"/>
        <v>0.35</v>
      </c>
      <c r="R81" s="60" t="str">
        <f t="shared" si="43"/>
        <v>Scenario 1: County Share 35%</v>
      </c>
      <c r="T81" s="31" t="str">
        <f t="shared" si="30"/>
        <v/>
      </c>
      <c r="U81" s="50" t="str">
        <f t="shared" si="31"/>
        <v/>
      </c>
      <c r="V81" s="50" t="str">
        <f t="shared" si="32"/>
        <v/>
      </c>
      <c r="W81" s="50" t="str">
        <f t="shared" si="33"/>
        <v/>
      </c>
      <c r="X81" s="39" t="str">
        <f t="shared" si="34"/>
        <v/>
      </c>
    </row>
    <row r="82" spans="1:24" x14ac:dyDescent="0.2">
      <c r="A82" s="13" t="s">
        <v>156</v>
      </c>
      <c r="B82" s="14" t="str">
        <f>IFERROR(_xlfn.XLOOKUP($A82,'County Contribution Actual'!B:B,'County Contribution Actual'!C:C),"")</f>
        <v/>
      </c>
      <c r="C82" s="50">
        <f>VLOOKUP(A82,'County Funding Level '!$A$2:$B$102,2,FALSE)</f>
        <v>12248666</v>
      </c>
      <c r="D82" s="31" t="str">
        <f>IFERROR(_xlfn.XLOOKUP($A82,'County Contribution Actual'!B:B,'County Contribution Actual'!D:D),"")</f>
        <v/>
      </c>
      <c r="E82" s="38" t="str">
        <f t="shared" si="28"/>
        <v>1</v>
      </c>
      <c r="G82" s="58">
        <f t="shared" si="35"/>
        <v>1</v>
      </c>
      <c r="H82" s="31">
        <f t="shared" si="36"/>
        <v>0</v>
      </c>
      <c r="I82" s="50">
        <f t="shared" si="37"/>
        <v>0</v>
      </c>
      <c r="J82" s="50" t="str">
        <f t="shared" si="38"/>
        <v/>
      </c>
      <c r="K82" s="50">
        <f t="shared" si="29"/>
        <v>0</v>
      </c>
      <c r="L82" s="59" t="str">
        <f t="shared" si="39"/>
        <v/>
      </c>
      <c r="M82" s="59" t="str">
        <f t="shared" si="40"/>
        <v/>
      </c>
      <c r="N82" s="59" t="str">
        <f t="shared" si="41"/>
        <v/>
      </c>
      <c r="O82" s="59">
        <f t="shared" si="42"/>
        <v>0.3</v>
      </c>
      <c r="P82" s="59">
        <f t="shared" si="19"/>
        <v>0.35</v>
      </c>
      <c r="Q82" s="59">
        <f t="shared" si="20"/>
        <v>0.35</v>
      </c>
      <c r="R82" s="60" t="str">
        <f t="shared" si="43"/>
        <v>Scenario 1: County Share 35%</v>
      </c>
      <c r="T82" s="31" t="str">
        <f t="shared" si="30"/>
        <v/>
      </c>
      <c r="U82" s="50" t="str">
        <f t="shared" si="31"/>
        <v/>
      </c>
      <c r="V82" s="50" t="str">
        <f t="shared" si="32"/>
        <v/>
      </c>
      <c r="W82" s="50" t="str">
        <f t="shared" si="33"/>
        <v/>
      </c>
      <c r="X82" s="39" t="str">
        <f t="shared" si="34"/>
        <v/>
      </c>
    </row>
    <row r="83" spans="1:24" x14ac:dyDescent="0.2">
      <c r="A83" s="13" t="s">
        <v>157</v>
      </c>
      <c r="B83" s="14" t="str">
        <f>IFERROR(_xlfn.XLOOKUP($A83,'County Contribution Actual'!B:B,'County Contribution Actual'!C:C),"")</f>
        <v/>
      </c>
      <c r="C83" s="50">
        <f>VLOOKUP(A83,'County Funding Level '!$A$2:$B$102,2,FALSE)</f>
        <v>27905631</v>
      </c>
      <c r="D83" s="31" t="str">
        <f>IFERROR(_xlfn.XLOOKUP($A83,'County Contribution Actual'!B:B,'County Contribution Actual'!D:D),"")</f>
        <v/>
      </c>
      <c r="E83" s="38" t="str">
        <f t="shared" si="28"/>
        <v>1</v>
      </c>
      <c r="G83" s="58">
        <f t="shared" si="35"/>
        <v>1</v>
      </c>
      <c r="H83" s="31">
        <f t="shared" si="36"/>
        <v>0</v>
      </c>
      <c r="I83" s="50">
        <f t="shared" si="37"/>
        <v>0</v>
      </c>
      <c r="J83" s="50" t="str">
        <f t="shared" si="38"/>
        <v/>
      </c>
      <c r="K83" s="50">
        <f t="shared" si="29"/>
        <v>0</v>
      </c>
      <c r="L83" s="59" t="str">
        <f t="shared" si="39"/>
        <v/>
      </c>
      <c r="M83" s="59" t="str">
        <f t="shared" si="40"/>
        <v/>
      </c>
      <c r="N83" s="59" t="str">
        <f t="shared" si="41"/>
        <v/>
      </c>
      <c r="O83" s="59">
        <f t="shared" si="42"/>
        <v>0.3</v>
      </c>
      <c r="P83" s="59">
        <f t="shared" si="19"/>
        <v>0.35</v>
      </c>
      <c r="Q83" s="59">
        <f t="shared" si="20"/>
        <v>0.35</v>
      </c>
      <c r="R83" s="60" t="str">
        <f t="shared" si="43"/>
        <v>Scenario 1: County Share 35%</v>
      </c>
      <c r="T83" s="31" t="str">
        <f t="shared" si="30"/>
        <v/>
      </c>
      <c r="U83" s="50" t="str">
        <f t="shared" si="31"/>
        <v/>
      </c>
      <c r="V83" s="50" t="str">
        <f t="shared" si="32"/>
        <v/>
      </c>
      <c r="W83" s="50" t="str">
        <f t="shared" si="33"/>
        <v/>
      </c>
      <c r="X83" s="39" t="str">
        <f t="shared" si="34"/>
        <v/>
      </c>
    </row>
    <row r="84" spans="1:24" x14ac:dyDescent="0.2">
      <c r="A84" s="13" t="s">
        <v>158</v>
      </c>
      <c r="B84" s="14" t="str">
        <f>IFERROR(_xlfn.XLOOKUP($A84,'County Contribution Actual'!B:B,'County Contribution Actual'!C:C),"")</f>
        <v/>
      </c>
      <c r="C84" s="50">
        <f>VLOOKUP(A84,'County Funding Level '!$A$2:$B$102,2,FALSE)</f>
        <v>8707508</v>
      </c>
      <c r="D84" s="31" t="str">
        <f>IFERROR(_xlfn.XLOOKUP($A84,'County Contribution Actual'!B:B,'County Contribution Actual'!D:D),"")</f>
        <v/>
      </c>
      <c r="E84" s="38" t="str">
        <f t="shared" si="28"/>
        <v>1</v>
      </c>
      <c r="G84" s="58">
        <f t="shared" si="35"/>
        <v>1</v>
      </c>
      <c r="H84" s="31">
        <f t="shared" si="36"/>
        <v>0</v>
      </c>
      <c r="I84" s="50">
        <f t="shared" si="37"/>
        <v>0</v>
      </c>
      <c r="J84" s="50" t="str">
        <f t="shared" si="38"/>
        <v/>
      </c>
      <c r="K84" s="50">
        <f t="shared" si="29"/>
        <v>0</v>
      </c>
      <c r="L84" s="59" t="str">
        <f t="shared" si="39"/>
        <v/>
      </c>
      <c r="M84" s="59" t="str">
        <f t="shared" si="40"/>
        <v/>
      </c>
      <c r="N84" s="59" t="str">
        <f t="shared" si="41"/>
        <v/>
      </c>
      <c r="O84" s="59">
        <f t="shared" si="42"/>
        <v>0.3</v>
      </c>
      <c r="P84" s="59">
        <f t="shared" ref="P84:P103" si="44">LOOKUP($G84,$Z$24:$Z$26,AB$24:AB$26)</f>
        <v>0.35</v>
      </c>
      <c r="Q84" s="59">
        <f t="shared" ref="Q84:Q103" si="45">LOOKUP($G84,$Z$24:$Z$26,AC$24:AC$26)</f>
        <v>0.35</v>
      </c>
      <c r="R84" s="60" t="str">
        <f t="shared" si="43"/>
        <v>Scenario 1: County Share 35%</v>
      </c>
      <c r="T84" s="31" t="str">
        <f t="shared" si="30"/>
        <v/>
      </c>
      <c r="U84" s="50" t="str">
        <f t="shared" si="31"/>
        <v/>
      </c>
      <c r="V84" s="50" t="str">
        <f t="shared" si="32"/>
        <v/>
      </c>
      <c r="W84" s="50" t="str">
        <f t="shared" si="33"/>
        <v/>
      </c>
      <c r="X84" s="39" t="str">
        <f t="shared" si="34"/>
        <v/>
      </c>
    </row>
    <row r="85" spans="1:24" x14ac:dyDescent="0.2">
      <c r="A85" s="13" t="s">
        <v>159</v>
      </c>
      <c r="B85" s="14" t="str">
        <f>IFERROR(_xlfn.XLOOKUP($A85,'County Contribution Actual'!B:B,'County Contribution Actual'!C:C),"")</f>
        <v/>
      </c>
      <c r="C85" s="50">
        <f>VLOOKUP(A85,'County Funding Level '!$A$2:$B$102,2,FALSE)</f>
        <v>25372375</v>
      </c>
      <c r="D85" s="31" t="str">
        <f>IFERROR(_xlfn.XLOOKUP($A85,'County Contribution Actual'!B:B,'County Contribution Actual'!D:D),"")</f>
        <v/>
      </c>
      <c r="E85" s="38" t="str">
        <f t="shared" si="28"/>
        <v>1</v>
      </c>
      <c r="G85" s="58">
        <f t="shared" si="35"/>
        <v>1</v>
      </c>
      <c r="H85" s="31">
        <f t="shared" si="36"/>
        <v>0</v>
      </c>
      <c r="I85" s="50">
        <f t="shared" si="37"/>
        <v>0</v>
      </c>
      <c r="J85" s="50" t="str">
        <f t="shared" si="38"/>
        <v/>
      </c>
      <c r="K85" s="50">
        <f t="shared" si="29"/>
        <v>0</v>
      </c>
      <c r="L85" s="59" t="str">
        <f t="shared" si="39"/>
        <v/>
      </c>
      <c r="M85" s="59" t="str">
        <f t="shared" si="40"/>
        <v/>
      </c>
      <c r="N85" s="59" t="str">
        <f t="shared" si="41"/>
        <v/>
      </c>
      <c r="O85" s="59">
        <f t="shared" si="42"/>
        <v>0.3</v>
      </c>
      <c r="P85" s="59">
        <f t="shared" si="44"/>
        <v>0.35</v>
      </c>
      <c r="Q85" s="59">
        <f t="shared" si="45"/>
        <v>0.35</v>
      </c>
      <c r="R85" s="60" t="str">
        <f t="shared" si="43"/>
        <v>Scenario 1: County Share 35%</v>
      </c>
      <c r="T85" s="31" t="str">
        <f t="shared" si="30"/>
        <v/>
      </c>
      <c r="U85" s="50" t="str">
        <f t="shared" si="31"/>
        <v/>
      </c>
      <c r="V85" s="50" t="str">
        <f t="shared" si="32"/>
        <v/>
      </c>
      <c r="W85" s="50" t="str">
        <f t="shared" si="33"/>
        <v/>
      </c>
      <c r="X85" s="39" t="str">
        <f t="shared" si="34"/>
        <v/>
      </c>
    </row>
    <row r="86" spans="1:24" x14ac:dyDescent="0.2">
      <c r="A86" s="13" t="s">
        <v>160</v>
      </c>
      <c r="B86" s="14" t="str">
        <f>IFERROR(_xlfn.XLOOKUP($A86,'County Contribution Actual'!B:B,'County Contribution Actual'!C:C),"")</f>
        <v>yes</v>
      </c>
      <c r="C86" s="50">
        <f>VLOOKUP(A86,'County Funding Level '!$A$2:$B$102,2,FALSE)</f>
        <v>17677626</v>
      </c>
      <c r="D86" s="31">
        <f>IFERROR(_xlfn.XLOOKUP($A86,'County Contribution Actual'!B:B,'County Contribution Actual'!D:D),"")</f>
        <v>1800000</v>
      </c>
      <c r="E86" s="38" t="str">
        <f t="shared" si="28"/>
        <v>1</v>
      </c>
      <c r="G86" s="58">
        <f t="shared" si="35"/>
        <v>1</v>
      </c>
      <c r="H86" s="31">
        <f t="shared" si="36"/>
        <v>5142857.1428571427</v>
      </c>
      <c r="I86" s="50">
        <f t="shared" si="37"/>
        <v>1542857.1428571427</v>
      </c>
      <c r="J86" s="50">
        <f t="shared" si="38"/>
        <v>1800000</v>
      </c>
      <c r="K86" s="50">
        <f t="shared" si="29"/>
        <v>1799999.9999999998</v>
      </c>
      <c r="L86" s="59">
        <f t="shared" si="39"/>
        <v>0.3</v>
      </c>
      <c r="M86" s="59">
        <f t="shared" si="40"/>
        <v>0.35000000000000003</v>
      </c>
      <c r="N86" s="59">
        <f t="shared" si="41"/>
        <v>0.35</v>
      </c>
      <c r="O86" s="59">
        <f t="shared" si="42"/>
        <v>0.3</v>
      </c>
      <c r="P86" s="59">
        <f t="shared" si="44"/>
        <v>0.35</v>
      </c>
      <c r="Q86" s="59">
        <f t="shared" si="45"/>
        <v>0.35</v>
      </c>
      <c r="R86" s="60" t="str">
        <f t="shared" si="43"/>
        <v>Scenario 1: County Share 35%</v>
      </c>
      <c r="T86" s="31" t="str">
        <f t="shared" si="30"/>
        <v/>
      </c>
      <c r="U86" s="50" t="str">
        <f t="shared" si="31"/>
        <v/>
      </c>
      <c r="V86" s="50" t="str">
        <f t="shared" si="32"/>
        <v/>
      </c>
      <c r="W86" s="50" t="str">
        <f t="shared" si="33"/>
        <v/>
      </c>
      <c r="X86" s="39" t="str">
        <f t="shared" si="34"/>
        <v/>
      </c>
    </row>
    <row r="87" spans="1:24" x14ac:dyDescent="0.2">
      <c r="A87" s="13" t="s">
        <v>161</v>
      </c>
      <c r="B87" s="14" t="str">
        <f>IFERROR(_xlfn.XLOOKUP($A87,'County Contribution Actual'!B:B,'County Contribution Actual'!C:C),"")</f>
        <v/>
      </c>
      <c r="C87" s="50">
        <f>VLOOKUP(A87,'County Funding Level '!$A$2:$B$102,2,FALSE)</f>
        <v>27598928</v>
      </c>
      <c r="D87" s="31" t="str">
        <f>IFERROR(_xlfn.XLOOKUP($A87,'County Contribution Actual'!B:B,'County Contribution Actual'!D:D),"")</f>
        <v/>
      </c>
      <c r="E87" s="38" t="str">
        <f t="shared" si="28"/>
        <v>1</v>
      </c>
      <c r="G87" s="58">
        <f t="shared" si="35"/>
        <v>1</v>
      </c>
      <c r="H87" s="31">
        <f t="shared" si="36"/>
        <v>0</v>
      </c>
      <c r="I87" s="50">
        <f t="shared" si="37"/>
        <v>0</v>
      </c>
      <c r="J87" s="50" t="str">
        <f t="shared" si="38"/>
        <v/>
      </c>
      <c r="K87" s="50">
        <f t="shared" si="29"/>
        <v>0</v>
      </c>
      <c r="L87" s="59" t="str">
        <f t="shared" si="39"/>
        <v/>
      </c>
      <c r="M87" s="59" t="str">
        <f t="shared" si="40"/>
        <v/>
      </c>
      <c r="N87" s="59" t="str">
        <f t="shared" si="41"/>
        <v/>
      </c>
      <c r="O87" s="59">
        <f t="shared" si="42"/>
        <v>0.3</v>
      </c>
      <c r="P87" s="59">
        <f t="shared" si="44"/>
        <v>0.35</v>
      </c>
      <c r="Q87" s="59">
        <f t="shared" si="45"/>
        <v>0.35</v>
      </c>
      <c r="R87" s="60" t="str">
        <f t="shared" si="43"/>
        <v>Scenario 1: County Share 35%</v>
      </c>
      <c r="T87" s="31" t="str">
        <f t="shared" si="30"/>
        <v/>
      </c>
      <c r="U87" s="50" t="str">
        <f t="shared" si="31"/>
        <v/>
      </c>
      <c r="V87" s="50" t="str">
        <f t="shared" si="32"/>
        <v/>
      </c>
      <c r="W87" s="50" t="str">
        <f t="shared" si="33"/>
        <v/>
      </c>
      <c r="X87" s="39" t="str">
        <f t="shared" si="34"/>
        <v/>
      </c>
    </row>
    <row r="88" spans="1:24" x14ac:dyDescent="0.2">
      <c r="A88" s="13" t="s">
        <v>162</v>
      </c>
      <c r="B88" s="14" t="str">
        <f>IFERROR(_xlfn.XLOOKUP($A88,'County Contribution Actual'!B:B,'County Contribution Actual'!C:C),"")</f>
        <v/>
      </c>
      <c r="C88" s="50">
        <f>VLOOKUP(A88,'County Funding Level '!$A$2:$B$102,2,FALSE)</f>
        <v>13019597</v>
      </c>
      <c r="D88" s="31" t="str">
        <f>IFERROR(_xlfn.XLOOKUP($A88,'County Contribution Actual'!B:B,'County Contribution Actual'!D:D),"")</f>
        <v/>
      </c>
      <c r="E88" s="38" t="str">
        <f t="shared" si="28"/>
        <v>1</v>
      </c>
      <c r="G88" s="58">
        <f t="shared" si="35"/>
        <v>1</v>
      </c>
      <c r="H88" s="31">
        <f t="shared" si="36"/>
        <v>0</v>
      </c>
      <c r="I88" s="50">
        <f t="shared" si="37"/>
        <v>0</v>
      </c>
      <c r="J88" s="50" t="str">
        <f t="shared" si="38"/>
        <v/>
      </c>
      <c r="K88" s="50">
        <f t="shared" si="29"/>
        <v>0</v>
      </c>
      <c r="L88" s="59" t="str">
        <f t="shared" si="39"/>
        <v/>
      </c>
      <c r="M88" s="59" t="str">
        <f t="shared" si="40"/>
        <v/>
      </c>
      <c r="N88" s="59" t="str">
        <f t="shared" si="41"/>
        <v/>
      </c>
      <c r="O88" s="59">
        <f t="shared" si="42"/>
        <v>0.3</v>
      </c>
      <c r="P88" s="59">
        <f t="shared" si="44"/>
        <v>0.35</v>
      </c>
      <c r="Q88" s="59">
        <f t="shared" si="45"/>
        <v>0.35</v>
      </c>
      <c r="R88" s="60" t="str">
        <f t="shared" si="43"/>
        <v>Scenario 1: County Share 35%</v>
      </c>
      <c r="T88" s="31" t="str">
        <f t="shared" si="30"/>
        <v/>
      </c>
      <c r="U88" s="50" t="str">
        <f t="shared" si="31"/>
        <v/>
      </c>
      <c r="V88" s="50" t="str">
        <f t="shared" si="32"/>
        <v/>
      </c>
      <c r="W88" s="50" t="str">
        <f t="shared" si="33"/>
        <v/>
      </c>
      <c r="X88" s="39" t="str">
        <f t="shared" si="34"/>
        <v/>
      </c>
    </row>
    <row r="89" spans="1:24" x14ac:dyDescent="0.2">
      <c r="A89" s="13" t="s">
        <v>163</v>
      </c>
      <c r="B89" s="14" t="str">
        <f>IFERROR(_xlfn.XLOOKUP($A89,'County Contribution Actual'!B:B,'County Contribution Actual'!C:C),"")</f>
        <v/>
      </c>
      <c r="C89" s="50">
        <f>VLOOKUP(A89,'County Funding Level '!$A$2:$B$102,2,FALSE)</f>
        <v>12340152</v>
      </c>
      <c r="D89" s="31" t="str">
        <f>IFERROR(_xlfn.XLOOKUP($A89,'County Contribution Actual'!B:B,'County Contribution Actual'!D:D),"")</f>
        <v/>
      </c>
      <c r="E89" s="38" t="str">
        <f t="shared" si="28"/>
        <v>1</v>
      </c>
      <c r="G89" s="58">
        <f t="shared" si="35"/>
        <v>1</v>
      </c>
      <c r="H89" s="31">
        <f t="shared" si="36"/>
        <v>0</v>
      </c>
      <c r="I89" s="50">
        <f t="shared" si="37"/>
        <v>0</v>
      </c>
      <c r="J89" s="50" t="str">
        <f t="shared" si="38"/>
        <v/>
      </c>
      <c r="K89" s="50">
        <f t="shared" si="29"/>
        <v>0</v>
      </c>
      <c r="L89" s="59" t="str">
        <f t="shared" si="39"/>
        <v/>
      </c>
      <c r="M89" s="59" t="str">
        <f t="shared" si="40"/>
        <v/>
      </c>
      <c r="N89" s="59" t="str">
        <f t="shared" si="41"/>
        <v/>
      </c>
      <c r="O89" s="59">
        <f t="shared" si="42"/>
        <v>0.3</v>
      </c>
      <c r="P89" s="59">
        <f t="shared" si="44"/>
        <v>0.35</v>
      </c>
      <c r="Q89" s="59">
        <f t="shared" si="45"/>
        <v>0.35</v>
      </c>
      <c r="R89" s="60" t="str">
        <f t="shared" si="43"/>
        <v>Scenario 1: County Share 35%</v>
      </c>
      <c r="T89" s="31" t="str">
        <f t="shared" si="30"/>
        <v/>
      </c>
      <c r="U89" s="50" t="str">
        <f t="shared" si="31"/>
        <v/>
      </c>
      <c r="V89" s="50" t="str">
        <f t="shared" si="32"/>
        <v/>
      </c>
      <c r="W89" s="50" t="str">
        <f t="shared" si="33"/>
        <v/>
      </c>
      <c r="X89" s="39" t="str">
        <f t="shared" si="34"/>
        <v/>
      </c>
    </row>
    <row r="90" spans="1:24" x14ac:dyDescent="0.2">
      <c r="A90" s="13" t="s">
        <v>164</v>
      </c>
      <c r="B90" s="14" t="str">
        <f>IFERROR(_xlfn.XLOOKUP($A90,'County Contribution Actual'!B:B,'County Contribution Actual'!C:C),"")</f>
        <v/>
      </c>
      <c r="C90" s="50">
        <f>VLOOKUP(A90,'County Funding Level '!$A$2:$B$102,2,FALSE)</f>
        <v>6763960</v>
      </c>
      <c r="D90" s="31" t="str">
        <f>IFERROR(_xlfn.XLOOKUP($A90,'County Contribution Actual'!B:B,'County Contribution Actual'!D:D),"")</f>
        <v/>
      </c>
      <c r="E90" s="38" t="str">
        <f t="shared" si="28"/>
        <v>2 &amp; 3</v>
      </c>
      <c r="G90" s="58">
        <f t="shared" si="35"/>
        <v>2</v>
      </c>
      <c r="H90" s="31">
        <f t="shared" si="36"/>
        <v>0</v>
      </c>
      <c r="I90" s="50">
        <f t="shared" si="37"/>
        <v>0</v>
      </c>
      <c r="J90" s="50" t="str">
        <f t="shared" si="38"/>
        <v/>
      </c>
      <c r="K90" s="50">
        <f t="shared" si="29"/>
        <v>0</v>
      </c>
      <c r="L90" s="59" t="str">
        <f t="shared" si="39"/>
        <v/>
      </c>
      <c r="M90" s="59" t="str">
        <f t="shared" si="40"/>
        <v/>
      </c>
      <c r="N90" s="59" t="str">
        <f t="shared" si="41"/>
        <v/>
      </c>
      <c r="O90" s="59">
        <f t="shared" si="42"/>
        <v>0.15</v>
      </c>
      <c r="P90" s="59">
        <f t="shared" si="44"/>
        <v>0.1</v>
      </c>
      <c r="Q90" s="59">
        <f t="shared" si="45"/>
        <v>0.75</v>
      </c>
      <c r="R90" s="60" t="str">
        <f t="shared" si="43"/>
        <v>Scenario 2: County Share 10%</v>
      </c>
      <c r="T90" s="31" t="str">
        <f t="shared" si="30"/>
        <v/>
      </c>
      <c r="U90" s="50" t="str">
        <f t="shared" si="31"/>
        <v/>
      </c>
      <c r="V90" s="50" t="str">
        <f t="shared" si="32"/>
        <v/>
      </c>
      <c r="W90" s="50" t="str">
        <f t="shared" si="33"/>
        <v/>
      </c>
      <c r="X90" s="39" t="str">
        <f t="shared" si="34"/>
        <v>Scenario 3: County Share 42.5%</v>
      </c>
    </row>
    <row r="91" spans="1:24" x14ac:dyDescent="0.2">
      <c r="A91" s="13" t="s">
        <v>165</v>
      </c>
      <c r="B91" s="14" t="str">
        <f>IFERROR(_xlfn.XLOOKUP($A91,'County Contribution Actual'!B:B,'County Contribution Actual'!C:C),"")</f>
        <v/>
      </c>
      <c r="C91" s="50">
        <f>VLOOKUP(A91,'County Funding Level '!$A$2:$B$102,2,FALSE)</f>
        <v>8855517</v>
      </c>
      <c r="D91" s="31" t="str">
        <f>IFERROR(_xlfn.XLOOKUP($A91,'County Contribution Actual'!B:B,'County Contribution Actual'!D:D),"")</f>
        <v/>
      </c>
      <c r="E91" s="38" t="str">
        <f t="shared" si="28"/>
        <v>1</v>
      </c>
      <c r="G91" s="58">
        <f t="shared" si="35"/>
        <v>1</v>
      </c>
      <c r="H91" s="31">
        <f t="shared" si="36"/>
        <v>0</v>
      </c>
      <c r="I91" s="50">
        <f t="shared" si="37"/>
        <v>0</v>
      </c>
      <c r="J91" s="50" t="str">
        <f t="shared" si="38"/>
        <v/>
      </c>
      <c r="K91" s="50">
        <f t="shared" si="29"/>
        <v>0</v>
      </c>
      <c r="L91" s="59" t="str">
        <f t="shared" si="39"/>
        <v/>
      </c>
      <c r="M91" s="59" t="str">
        <f t="shared" si="40"/>
        <v/>
      </c>
      <c r="N91" s="59" t="str">
        <f t="shared" si="41"/>
        <v/>
      </c>
      <c r="O91" s="59">
        <f t="shared" si="42"/>
        <v>0.3</v>
      </c>
      <c r="P91" s="59">
        <f t="shared" si="44"/>
        <v>0.35</v>
      </c>
      <c r="Q91" s="59">
        <f t="shared" si="45"/>
        <v>0.35</v>
      </c>
      <c r="R91" s="60" t="str">
        <f t="shared" si="43"/>
        <v>Scenario 1: County Share 35%</v>
      </c>
      <c r="T91" s="31" t="str">
        <f t="shared" si="30"/>
        <v/>
      </c>
      <c r="U91" s="50" t="str">
        <f t="shared" si="31"/>
        <v/>
      </c>
      <c r="V91" s="50" t="str">
        <f t="shared" si="32"/>
        <v/>
      </c>
      <c r="W91" s="50" t="str">
        <f t="shared" si="33"/>
        <v/>
      </c>
      <c r="X91" s="39" t="str">
        <f t="shared" si="34"/>
        <v/>
      </c>
    </row>
    <row r="92" spans="1:24" x14ac:dyDescent="0.2">
      <c r="A92" s="13" t="s">
        <v>166</v>
      </c>
      <c r="B92" s="14" t="str">
        <f>IFERROR(_xlfn.XLOOKUP($A92,'County Contribution Actual'!B:B,'County Contribution Actual'!C:C),"")</f>
        <v/>
      </c>
      <c r="C92" s="50">
        <f>VLOOKUP(A92,'County Funding Level '!$A$2:$B$102,2,FALSE)</f>
        <v>13943006</v>
      </c>
      <c r="D92" s="31" t="str">
        <f>IFERROR(_xlfn.XLOOKUP($A92,'County Contribution Actual'!B:B,'County Contribution Actual'!D:D),"")</f>
        <v/>
      </c>
      <c r="E92" s="38" t="str">
        <f t="shared" si="28"/>
        <v>1</v>
      </c>
      <c r="G92" s="58">
        <f t="shared" si="35"/>
        <v>1</v>
      </c>
      <c r="H92" s="31">
        <f t="shared" si="36"/>
        <v>0</v>
      </c>
      <c r="I92" s="50">
        <f t="shared" si="37"/>
        <v>0</v>
      </c>
      <c r="J92" s="50" t="str">
        <f t="shared" si="38"/>
        <v/>
      </c>
      <c r="K92" s="50">
        <f t="shared" si="29"/>
        <v>0</v>
      </c>
      <c r="L92" s="59" t="str">
        <f t="shared" si="39"/>
        <v/>
      </c>
      <c r="M92" s="59" t="str">
        <f t="shared" si="40"/>
        <v/>
      </c>
      <c r="N92" s="59" t="str">
        <f t="shared" si="41"/>
        <v/>
      </c>
      <c r="O92" s="59">
        <f t="shared" si="42"/>
        <v>0.3</v>
      </c>
      <c r="P92" s="59">
        <f t="shared" si="44"/>
        <v>0.35</v>
      </c>
      <c r="Q92" s="59">
        <f t="shared" si="45"/>
        <v>0.35</v>
      </c>
      <c r="R92" s="60" t="str">
        <f t="shared" si="43"/>
        <v>Scenario 1: County Share 35%</v>
      </c>
      <c r="T92" s="31" t="str">
        <f t="shared" si="30"/>
        <v/>
      </c>
      <c r="U92" s="50" t="str">
        <f t="shared" si="31"/>
        <v/>
      </c>
      <c r="V92" s="50" t="str">
        <f t="shared" si="32"/>
        <v/>
      </c>
      <c r="W92" s="50" t="str">
        <f t="shared" si="33"/>
        <v/>
      </c>
      <c r="X92" s="39" t="str">
        <f t="shared" si="34"/>
        <v/>
      </c>
    </row>
    <row r="93" spans="1:24" x14ac:dyDescent="0.2">
      <c r="A93" s="13" t="s">
        <v>167</v>
      </c>
      <c r="B93" s="14" t="str">
        <f>IFERROR(_xlfn.XLOOKUP($A93,'County Contribution Actual'!B:B,'County Contribution Actual'!C:C),"")</f>
        <v/>
      </c>
      <c r="C93" s="50">
        <f>VLOOKUP(A93,'County Funding Level '!$A$2:$B$102,2,FALSE)</f>
        <v>6678883</v>
      </c>
      <c r="D93" s="31" t="str">
        <f>IFERROR(_xlfn.XLOOKUP($A93,'County Contribution Actual'!B:B,'County Contribution Actual'!D:D),"")</f>
        <v/>
      </c>
      <c r="E93" s="38" t="str">
        <f t="shared" si="28"/>
        <v>2 &amp; 3</v>
      </c>
      <c r="G93" s="58">
        <f t="shared" si="35"/>
        <v>2</v>
      </c>
      <c r="H93" s="31">
        <f t="shared" si="36"/>
        <v>0</v>
      </c>
      <c r="I93" s="50">
        <f t="shared" si="37"/>
        <v>0</v>
      </c>
      <c r="J93" s="50" t="str">
        <f t="shared" si="38"/>
        <v/>
      </c>
      <c r="K93" s="50">
        <f t="shared" si="29"/>
        <v>0</v>
      </c>
      <c r="L93" s="59" t="str">
        <f t="shared" si="39"/>
        <v/>
      </c>
      <c r="M93" s="59" t="str">
        <f t="shared" si="40"/>
        <v/>
      </c>
      <c r="N93" s="59" t="str">
        <f t="shared" si="41"/>
        <v/>
      </c>
      <c r="O93" s="59">
        <f t="shared" si="42"/>
        <v>0.15</v>
      </c>
      <c r="P93" s="59">
        <f t="shared" si="44"/>
        <v>0.1</v>
      </c>
      <c r="Q93" s="59">
        <f t="shared" si="45"/>
        <v>0.75</v>
      </c>
      <c r="R93" s="60" t="str">
        <f t="shared" si="43"/>
        <v>Scenario 2: County Share 10%</v>
      </c>
      <c r="T93" s="31" t="str">
        <f t="shared" si="30"/>
        <v/>
      </c>
      <c r="U93" s="50" t="str">
        <f t="shared" si="31"/>
        <v/>
      </c>
      <c r="V93" s="50" t="str">
        <f t="shared" si="32"/>
        <v/>
      </c>
      <c r="W93" s="50" t="str">
        <f t="shared" si="33"/>
        <v/>
      </c>
      <c r="X93" s="39" t="str">
        <f t="shared" si="34"/>
        <v>Scenario 3: County Share 42.5%</v>
      </c>
    </row>
    <row r="94" spans="1:24" x14ac:dyDescent="0.2">
      <c r="A94" s="13" t="s">
        <v>168</v>
      </c>
      <c r="B94" s="14" t="str">
        <f>IFERROR(_xlfn.XLOOKUP($A94,'County Contribution Actual'!B:B,'County Contribution Actual'!C:C),"")</f>
        <v/>
      </c>
      <c r="C94" s="50">
        <f>VLOOKUP(A94,'County Funding Level '!$A$2:$B$102,2,FALSE)</f>
        <v>780061</v>
      </c>
      <c r="D94" s="31" t="str">
        <f>IFERROR(_xlfn.XLOOKUP($A94,'County Contribution Actual'!B:B,'County Contribution Actual'!D:D),"")</f>
        <v/>
      </c>
      <c r="E94" s="38" t="str">
        <f t="shared" si="28"/>
        <v>4 &amp; 5</v>
      </c>
      <c r="G94" s="58">
        <f t="shared" si="35"/>
        <v>3</v>
      </c>
      <c r="H94" s="31">
        <f t="shared" si="36"/>
        <v>0</v>
      </c>
      <c r="I94" s="50">
        <f t="shared" si="37"/>
        <v>0</v>
      </c>
      <c r="J94" s="50" t="str">
        <f t="shared" si="38"/>
        <v/>
      </c>
      <c r="K94" s="50">
        <f t="shared" si="29"/>
        <v>0</v>
      </c>
      <c r="L94" s="59" t="str">
        <f t="shared" si="39"/>
        <v/>
      </c>
      <c r="M94" s="59" t="str">
        <f t="shared" si="40"/>
        <v/>
      </c>
      <c r="N94" s="59" t="str">
        <f t="shared" si="41"/>
        <v/>
      </c>
      <c r="O94" s="59">
        <f t="shared" si="42"/>
        <v>0.15</v>
      </c>
      <c r="P94" s="59">
        <f t="shared" si="44"/>
        <v>0.05</v>
      </c>
      <c r="Q94" s="59">
        <f t="shared" si="45"/>
        <v>0.8</v>
      </c>
      <c r="R94" s="60" t="str">
        <f t="shared" si="43"/>
        <v>Scenario 4: County Share 5%</v>
      </c>
      <c r="T94" s="31" t="str">
        <f t="shared" si="30"/>
        <v/>
      </c>
      <c r="U94" s="50" t="str">
        <f t="shared" si="31"/>
        <v/>
      </c>
      <c r="V94" s="50" t="str">
        <f t="shared" si="32"/>
        <v/>
      </c>
      <c r="W94" s="50" t="str">
        <f t="shared" si="33"/>
        <v/>
      </c>
      <c r="X94" s="39" t="str">
        <f t="shared" si="34"/>
        <v>Scenario 5: County Share 42.5%</v>
      </c>
    </row>
    <row r="95" spans="1:24" x14ac:dyDescent="0.2">
      <c r="A95" s="13" t="s">
        <v>169</v>
      </c>
      <c r="B95" s="14" t="str">
        <f>IFERROR(_xlfn.XLOOKUP($A95,'County Contribution Actual'!B:B,'County Contribution Actual'!C:C),"")</f>
        <v/>
      </c>
      <c r="C95" s="50">
        <f>VLOOKUP(A95,'County Funding Level '!$A$2:$B$102,2,FALSE)</f>
        <v>8650402</v>
      </c>
      <c r="D95" s="31" t="str">
        <f>IFERROR(_xlfn.XLOOKUP($A95,'County Contribution Actual'!B:B,'County Contribution Actual'!D:D),"")</f>
        <v/>
      </c>
      <c r="E95" s="38" t="str">
        <f t="shared" si="28"/>
        <v>1</v>
      </c>
      <c r="G95" s="58">
        <f t="shared" si="35"/>
        <v>1</v>
      </c>
      <c r="H95" s="31">
        <f t="shared" si="36"/>
        <v>0</v>
      </c>
      <c r="I95" s="50">
        <f t="shared" si="37"/>
        <v>0</v>
      </c>
      <c r="J95" s="50" t="str">
        <f t="shared" si="38"/>
        <v/>
      </c>
      <c r="K95" s="50">
        <f t="shared" si="29"/>
        <v>0</v>
      </c>
      <c r="L95" s="59" t="str">
        <f t="shared" si="39"/>
        <v/>
      </c>
      <c r="M95" s="59" t="str">
        <f t="shared" si="40"/>
        <v/>
      </c>
      <c r="N95" s="59" t="str">
        <f t="shared" si="41"/>
        <v/>
      </c>
      <c r="O95" s="59">
        <f t="shared" si="42"/>
        <v>0.3</v>
      </c>
      <c r="P95" s="59">
        <f t="shared" si="44"/>
        <v>0.35</v>
      </c>
      <c r="Q95" s="59">
        <f t="shared" si="45"/>
        <v>0.35</v>
      </c>
      <c r="R95" s="60" t="str">
        <f t="shared" si="43"/>
        <v>Scenario 1: County Share 35%</v>
      </c>
      <c r="T95" s="31" t="str">
        <f t="shared" si="30"/>
        <v/>
      </c>
      <c r="U95" s="50" t="str">
        <f t="shared" si="31"/>
        <v/>
      </c>
      <c r="V95" s="50" t="str">
        <f t="shared" si="32"/>
        <v/>
      </c>
      <c r="W95" s="50" t="str">
        <f t="shared" si="33"/>
        <v/>
      </c>
      <c r="X95" s="39" t="str">
        <f t="shared" si="34"/>
        <v/>
      </c>
    </row>
    <row r="96" spans="1:24" x14ac:dyDescent="0.2">
      <c r="A96" s="13" t="s">
        <v>170</v>
      </c>
      <c r="B96" s="14" t="str">
        <f>IFERROR(_xlfn.XLOOKUP($A96,'County Contribution Actual'!B:B,'County Contribution Actual'!C:C),"")</f>
        <v>yes</v>
      </c>
      <c r="C96" s="50">
        <f>VLOOKUP(A96,'County Funding Level '!$A$2:$B$102,2,FALSE)</f>
        <v>3832515</v>
      </c>
      <c r="D96" s="31">
        <f>IFERROR(_xlfn.XLOOKUP($A96,'County Contribution Actual'!B:B,'County Contribution Actual'!D:D),"")</f>
        <v>400000</v>
      </c>
      <c r="E96" s="38" t="str">
        <f t="shared" si="28"/>
        <v>4 &amp; 5</v>
      </c>
      <c r="G96" s="58">
        <f t="shared" si="35"/>
        <v>3</v>
      </c>
      <c r="H96" s="31">
        <f t="shared" si="36"/>
        <v>7999999.9999999991</v>
      </c>
      <c r="I96" s="50">
        <f t="shared" si="37"/>
        <v>1199999.9999999991</v>
      </c>
      <c r="J96" s="50">
        <f t="shared" si="38"/>
        <v>400000</v>
      </c>
      <c r="K96" s="50">
        <f t="shared" si="29"/>
        <v>6400000</v>
      </c>
      <c r="L96" s="59">
        <f t="shared" si="39"/>
        <v>0.14999999999999991</v>
      </c>
      <c r="M96" s="59">
        <f t="shared" si="40"/>
        <v>0.05</v>
      </c>
      <c r="N96" s="59">
        <f t="shared" si="41"/>
        <v>0.8</v>
      </c>
      <c r="O96" s="59">
        <f t="shared" si="42"/>
        <v>0.15</v>
      </c>
      <c r="P96" s="59">
        <f t="shared" si="44"/>
        <v>0.05</v>
      </c>
      <c r="Q96" s="59">
        <f t="shared" si="45"/>
        <v>0.8</v>
      </c>
      <c r="R96" s="60" t="str">
        <f t="shared" si="43"/>
        <v>Scenario 4: County Share 5%</v>
      </c>
      <c r="T96" s="31">
        <f t="shared" si="30"/>
        <v>941176.4705882353</v>
      </c>
      <c r="U96" s="50">
        <f t="shared" si="31"/>
        <v>141176.4705882353</v>
      </c>
      <c r="V96" s="50">
        <f t="shared" si="32"/>
        <v>400000</v>
      </c>
      <c r="W96" s="50">
        <f t="shared" si="33"/>
        <v>400000</v>
      </c>
      <c r="X96" s="39" t="str">
        <f t="shared" si="34"/>
        <v>Scenario 5: County Share 42.5%</v>
      </c>
    </row>
    <row r="97" spans="1:24" x14ac:dyDescent="0.2">
      <c r="A97" s="13" t="s">
        <v>171</v>
      </c>
      <c r="B97" s="14" t="str">
        <f>IFERROR(_xlfn.XLOOKUP($A97,'County Contribution Actual'!B:B,'County Contribution Actual'!C:C),"")</f>
        <v/>
      </c>
      <c r="C97" s="50">
        <f>VLOOKUP(A97,'County Funding Level '!$A$2:$B$102,2,FALSE)</f>
        <v>2249279</v>
      </c>
      <c r="D97" s="31" t="str">
        <f>IFERROR(_xlfn.XLOOKUP($A97,'County Contribution Actual'!B:B,'County Contribution Actual'!D:D),"")</f>
        <v/>
      </c>
      <c r="E97" s="38" t="str">
        <f t="shared" si="28"/>
        <v>4 &amp; 5</v>
      </c>
      <c r="G97" s="58">
        <f t="shared" si="35"/>
        <v>3</v>
      </c>
      <c r="H97" s="31">
        <f t="shared" si="36"/>
        <v>0</v>
      </c>
      <c r="I97" s="50">
        <f t="shared" si="37"/>
        <v>0</v>
      </c>
      <c r="J97" s="50" t="str">
        <f t="shared" si="38"/>
        <v/>
      </c>
      <c r="K97" s="50">
        <f t="shared" si="29"/>
        <v>0</v>
      </c>
      <c r="L97" s="59" t="str">
        <f t="shared" si="39"/>
        <v/>
      </c>
      <c r="M97" s="59" t="str">
        <f t="shared" si="40"/>
        <v/>
      </c>
      <c r="N97" s="59" t="str">
        <f t="shared" si="41"/>
        <v/>
      </c>
      <c r="O97" s="59">
        <f t="shared" si="42"/>
        <v>0.15</v>
      </c>
      <c r="P97" s="59">
        <f t="shared" si="44"/>
        <v>0.05</v>
      </c>
      <c r="Q97" s="59">
        <f t="shared" si="45"/>
        <v>0.8</v>
      </c>
      <c r="R97" s="60" t="str">
        <f t="shared" si="43"/>
        <v>Scenario 4: County Share 5%</v>
      </c>
      <c r="T97" s="31" t="str">
        <f t="shared" si="30"/>
        <v/>
      </c>
      <c r="U97" s="50" t="str">
        <f t="shared" si="31"/>
        <v/>
      </c>
      <c r="V97" s="50" t="str">
        <f t="shared" si="32"/>
        <v/>
      </c>
      <c r="W97" s="50" t="str">
        <f t="shared" si="33"/>
        <v/>
      </c>
      <c r="X97" s="39" t="str">
        <f t="shared" si="34"/>
        <v>Scenario 5: County Share 42.5%</v>
      </c>
    </row>
    <row r="98" spans="1:24" x14ac:dyDescent="0.2">
      <c r="A98" s="13" t="s">
        <v>172</v>
      </c>
      <c r="B98" s="14" t="str">
        <f>IFERROR(_xlfn.XLOOKUP($A98,'County Contribution Actual'!B:B,'County Contribution Actual'!C:C),"")</f>
        <v/>
      </c>
      <c r="C98" s="50">
        <f>VLOOKUP(A98,'County Funding Level '!$A$2:$B$102,2,FALSE)</f>
        <v>10911724</v>
      </c>
      <c r="D98" s="31" t="str">
        <f>IFERROR(_xlfn.XLOOKUP($A98,'County Contribution Actual'!B:B,'County Contribution Actual'!D:D),"")</f>
        <v/>
      </c>
      <c r="E98" s="38" t="str">
        <f t="shared" si="28"/>
        <v>1</v>
      </c>
      <c r="G98" s="58">
        <f t="shared" si="35"/>
        <v>1</v>
      </c>
      <c r="H98" s="31">
        <f t="shared" si="36"/>
        <v>0</v>
      </c>
      <c r="I98" s="50">
        <f t="shared" si="37"/>
        <v>0</v>
      </c>
      <c r="J98" s="50" t="str">
        <f t="shared" si="38"/>
        <v/>
      </c>
      <c r="K98" s="50">
        <f t="shared" si="29"/>
        <v>0</v>
      </c>
      <c r="L98" s="59" t="str">
        <f t="shared" si="39"/>
        <v/>
      </c>
      <c r="M98" s="59" t="str">
        <f t="shared" si="40"/>
        <v/>
      </c>
      <c r="N98" s="59" t="str">
        <f t="shared" si="41"/>
        <v/>
      </c>
      <c r="O98" s="59">
        <f t="shared" si="42"/>
        <v>0.3</v>
      </c>
      <c r="P98" s="59">
        <f t="shared" si="44"/>
        <v>0.35</v>
      </c>
      <c r="Q98" s="59">
        <f t="shared" si="45"/>
        <v>0.35</v>
      </c>
      <c r="R98" s="60" t="str">
        <f t="shared" si="43"/>
        <v>Scenario 1: County Share 35%</v>
      </c>
      <c r="T98" s="31" t="str">
        <f t="shared" si="30"/>
        <v/>
      </c>
      <c r="U98" s="50" t="str">
        <f t="shared" si="31"/>
        <v/>
      </c>
      <c r="V98" s="50" t="str">
        <f t="shared" si="32"/>
        <v/>
      </c>
      <c r="W98" s="50" t="str">
        <f t="shared" si="33"/>
        <v/>
      </c>
      <c r="X98" s="39" t="str">
        <f t="shared" si="34"/>
        <v/>
      </c>
    </row>
    <row r="99" spans="1:24" x14ac:dyDescent="0.2">
      <c r="A99" s="13" t="s">
        <v>173</v>
      </c>
      <c r="B99" s="14" t="str">
        <f>IFERROR(_xlfn.XLOOKUP($A99,'County Contribution Actual'!B:B,'County Contribution Actual'!C:C),"")</f>
        <v/>
      </c>
      <c r="C99" s="50">
        <f>VLOOKUP(A99,'County Funding Level '!$A$2:$B$102,2,FALSE)</f>
        <v>23916753</v>
      </c>
      <c r="D99" s="31" t="str">
        <f>IFERROR(_xlfn.XLOOKUP($A99,'County Contribution Actual'!B:B,'County Contribution Actual'!D:D),"")</f>
        <v/>
      </c>
      <c r="E99" s="38" t="str">
        <f t="shared" si="28"/>
        <v>1</v>
      </c>
      <c r="G99" s="58">
        <f t="shared" si="35"/>
        <v>1</v>
      </c>
      <c r="H99" s="31">
        <f t="shared" si="36"/>
        <v>0</v>
      </c>
      <c r="I99" s="50">
        <f t="shared" si="37"/>
        <v>0</v>
      </c>
      <c r="J99" s="50" t="str">
        <f t="shared" si="38"/>
        <v/>
      </c>
      <c r="K99" s="50">
        <f t="shared" si="29"/>
        <v>0</v>
      </c>
      <c r="L99" s="59" t="str">
        <f t="shared" si="39"/>
        <v/>
      </c>
      <c r="M99" s="59" t="str">
        <f t="shared" si="40"/>
        <v/>
      </c>
      <c r="N99" s="59" t="str">
        <f t="shared" si="41"/>
        <v/>
      </c>
      <c r="O99" s="59">
        <f t="shared" si="42"/>
        <v>0.3</v>
      </c>
      <c r="P99" s="59">
        <f t="shared" si="44"/>
        <v>0.35</v>
      </c>
      <c r="Q99" s="59">
        <f t="shared" si="45"/>
        <v>0.35</v>
      </c>
      <c r="R99" s="60" t="str">
        <f t="shared" si="43"/>
        <v>Scenario 1: County Share 35%</v>
      </c>
      <c r="T99" s="31" t="str">
        <f t="shared" si="30"/>
        <v/>
      </c>
      <c r="U99" s="50" t="str">
        <f t="shared" si="31"/>
        <v/>
      </c>
      <c r="V99" s="50" t="str">
        <f t="shared" si="32"/>
        <v/>
      </c>
      <c r="W99" s="50" t="str">
        <f t="shared" si="33"/>
        <v/>
      </c>
      <c r="X99" s="39" t="str">
        <f t="shared" si="34"/>
        <v/>
      </c>
    </row>
    <row r="100" spans="1:24" x14ac:dyDescent="0.2">
      <c r="A100" s="13" t="s">
        <v>174</v>
      </c>
      <c r="B100" s="14" t="str">
        <f>IFERROR(_xlfn.XLOOKUP($A100,'County Contribution Actual'!B:B,'County Contribution Actual'!C:C),"")</f>
        <v/>
      </c>
      <c r="C100" s="50">
        <f>VLOOKUP(A100,'County Funding Level '!$A$2:$B$102,2,FALSE)</f>
        <v>13288229</v>
      </c>
      <c r="D100" s="31" t="str">
        <f>IFERROR(_xlfn.XLOOKUP($A100,'County Contribution Actual'!B:B,'County Contribution Actual'!D:D),"")</f>
        <v/>
      </c>
      <c r="E100" s="38" t="str">
        <f t="shared" si="28"/>
        <v>1</v>
      </c>
      <c r="G100" s="58">
        <f t="shared" si="35"/>
        <v>1</v>
      </c>
      <c r="H100" s="31">
        <f t="shared" si="36"/>
        <v>0</v>
      </c>
      <c r="I100" s="50">
        <f t="shared" si="37"/>
        <v>0</v>
      </c>
      <c r="J100" s="50" t="str">
        <f t="shared" si="38"/>
        <v/>
      </c>
      <c r="K100" s="50">
        <f t="shared" ref="K100:K103" si="46">IFERROR(MIN(J100/P100*Q100,$AE$24),0)</f>
        <v>0</v>
      </c>
      <c r="L100" s="59" t="str">
        <f t="shared" si="39"/>
        <v/>
      </c>
      <c r="M100" s="59" t="str">
        <f t="shared" si="40"/>
        <v/>
      </c>
      <c r="N100" s="59" t="str">
        <f t="shared" si="41"/>
        <v/>
      </c>
      <c r="O100" s="59">
        <f t="shared" si="42"/>
        <v>0.3</v>
      </c>
      <c r="P100" s="59">
        <f t="shared" si="44"/>
        <v>0.35</v>
      </c>
      <c r="Q100" s="59">
        <f t="shared" si="45"/>
        <v>0.35</v>
      </c>
      <c r="R100" s="60" t="str">
        <f t="shared" si="43"/>
        <v>Scenario 1: County Share 35%</v>
      </c>
      <c r="T100" s="31" t="str">
        <f t="shared" si="30"/>
        <v/>
      </c>
      <c r="U100" s="50" t="str">
        <f t="shared" si="31"/>
        <v/>
      </c>
      <c r="V100" s="50" t="str">
        <f t="shared" si="32"/>
        <v/>
      </c>
      <c r="W100" s="50" t="str">
        <f t="shared" si="33"/>
        <v/>
      </c>
      <c r="X100" s="39" t="str">
        <f t="shared" si="34"/>
        <v/>
      </c>
    </row>
    <row r="101" spans="1:24" x14ac:dyDescent="0.2">
      <c r="A101" s="13" t="s">
        <v>175</v>
      </c>
      <c r="B101" s="14" t="str">
        <f>IFERROR(_xlfn.XLOOKUP($A101,'County Contribution Actual'!B:B,'County Contribution Actual'!C:C),"")</f>
        <v/>
      </c>
      <c r="C101" s="50">
        <f>VLOOKUP(A101,'County Funding Level '!$A$2:$B$102,2,FALSE)</f>
        <v>15888885</v>
      </c>
      <c r="D101" s="31" t="str">
        <f>IFERROR(_xlfn.XLOOKUP($A101,'County Contribution Actual'!B:B,'County Contribution Actual'!D:D),"")</f>
        <v/>
      </c>
      <c r="E101" s="38" t="str">
        <f t="shared" si="28"/>
        <v>1</v>
      </c>
      <c r="G101" s="58">
        <f t="shared" si="35"/>
        <v>1</v>
      </c>
      <c r="H101" s="31">
        <f t="shared" si="36"/>
        <v>0</v>
      </c>
      <c r="I101" s="50">
        <f t="shared" si="37"/>
        <v>0</v>
      </c>
      <c r="J101" s="50" t="str">
        <f t="shared" si="38"/>
        <v/>
      </c>
      <c r="K101" s="50">
        <f t="shared" si="46"/>
        <v>0</v>
      </c>
      <c r="L101" s="59" t="str">
        <f t="shared" si="39"/>
        <v/>
      </c>
      <c r="M101" s="59" t="str">
        <f t="shared" si="40"/>
        <v/>
      </c>
      <c r="N101" s="59" t="str">
        <f t="shared" si="41"/>
        <v/>
      </c>
      <c r="O101" s="59">
        <f t="shared" si="42"/>
        <v>0.3</v>
      </c>
      <c r="P101" s="59">
        <f t="shared" si="44"/>
        <v>0.35</v>
      </c>
      <c r="Q101" s="59">
        <f t="shared" si="45"/>
        <v>0.35</v>
      </c>
      <c r="R101" s="60" t="str">
        <f t="shared" si="43"/>
        <v>Scenario 1: County Share 35%</v>
      </c>
      <c r="T101" s="31" t="str">
        <f t="shared" si="30"/>
        <v/>
      </c>
      <c r="U101" s="50" t="str">
        <f t="shared" si="31"/>
        <v/>
      </c>
      <c r="V101" s="50" t="str">
        <f t="shared" si="32"/>
        <v/>
      </c>
      <c r="W101" s="50" t="str">
        <f t="shared" si="33"/>
        <v/>
      </c>
      <c r="X101" s="39" t="str">
        <f t="shared" si="34"/>
        <v/>
      </c>
    </row>
    <row r="102" spans="1:24" x14ac:dyDescent="0.2">
      <c r="A102" s="13" t="s">
        <v>176</v>
      </c>
      <c r="B102" s="14" t="str">
        <f>IFERROR(_xlfn.XLOOKUP($A102,'County Contribution Actual'!B:B,'County Contribution Actual'!C:C),"")</f>
        <v/>
      </c>
      <c r="C102" s="50">
        <f>VLOOKUP(A102,'County Funding Level '!$A$2:$B$102,2,FALSE)</f>
        <v>7316373</v>
      </c>
      <c r="D102" s="31" t="str">
        <f>IFERROR(_xlfn.XLOOKUP($A102,'County Contribution Actual'!B:B,'County Contribution Actual'!D:D),"")</f>
        <v/>
      </c>
      <c r="E102" s="38" t="str">
        <f t="shared" si="28"/>
        <v>2 &amp; 3</v>
      </c>
      <c r="G102" s="58">
        <f t="shared" si="35"/>
        <v>2</v>
      </c>
      <c r="H102" s="31">
        <f t="shared" si="36"/>
        <v>0</v>
      </c>
      <c r="I102" s="50">
        <f t="shared" si="37"/>
        <v>0</v>
      </c>
      <c r="J102" s="50" t="str">
        <f t="shared" si="38"/>
        <v/>
      </c>
      <c r="K102" s="50">
        <f t="shared" si="46"/>
        <v>0</v>
      </c>
      <c r="L102" s="59" t="str">
        <f t="shared" si="39"/>
        <v/>
      </c>
      <c r="M102" s="59" t="str">
        <f t="shared" si="40"/>
        <v/>
      </c>
      <c r="N102" s="59" t="str">
        <f t="shared" si="41"/>
        <v/>
      </c>
      <c r="O102" s="59">
        <f t="shared" si="42"/>
        <v>0.15</v>
      </c>
      <c r="P102" s="59">
        <f t="shared" si="44"/>
        <v>0.1</v>
      </c>
      <c r="Q102" s="59">
        <f t="shared" si="45"/>
        <v>0.75</v>
      </c>
      <c r="R102" s="60" t="str">
        <f t="shared" si="43"/>
        <v>Scenario 2: County Share 10%</v>
      </c>
      <c r="T102" s="31" t="str">
        <f t="shared" si="30"/>
        <v/>
      </c>
      <c r="U102" s="50" t="str">
        <f t="shared" si="31"/>
        <v/>
      </c>
      <c r="V102" s="50" t="str">
        <f t="shared" si="32"/>
        <v/>
      </c>
      <c r="W102" s="50" t="str">
        <f t="shared" si="33"/>
        <v/>
      </c>
      <c r="X102" s="39" t="str">
        <f t="shared" si="34"/>
        <v>Scenario 3: County Share 42.5%</v>
      </c>
    </row>
    <row r="103" spans="1:24" x14ac:dyDescent="0.2">
      <c r="A103" s="13" t="s">
        <v>177</v>
      </c>
      <c r="B103" s="14" t="str">
        <f>IFERROR(_xlfn.XLOOKUP($A103,'County Contribution Actual'!B:B,'County Contribution Actual'!C:C),"")</f>
        <v/>
      </c>
      <c r="C103" s="50">
        <f>VLOOKUP(A103,'County Funding Level '!$A$2:$B$102,2,FALSE)</f>
        <v>3509691</v>
      </c>
      <c r="D103" s="31" t="str">
        <f>IFERROR(_xlfn.XLOOKUP($A103,'County Contribution Actual'!B:B,'County Contribution Actual'!D:D),"")</f>
        <v/>
      </c>
      <c r="E103" s="38" t="str">
        <f t="shared" si="28"/>
        <v>4 &amp; 5</v>
      </c>
      <c r="G103" s="58">
        <f t="shared" si="35"/>
        <v>3</v>
      </c>
      <c r="H103" s="31">
        <f t="shared" si="36"/>
        <v>0</v>
      </c>
      <c r="I103" s="50">
        <f t="shared" si="37"/>
        <v>0</v>
      </c>
      <c r="J103" s="50" t="str">
        <f t="shared" si="38"/>
        <v/>
      </c>
      <c r="K103" s="50">
        <f t="shared" si="46"/>
        <v>0</v>
      </c>
      <c r="L103" s="59" t="str">
        <f t="shared" si="39"/>
        <v/>
      </c>
      <c r="M103" s="59" t="str">
        <f t="shared" si="40"/>
        <v/>
      </c>
      <c r="N103" s="59" t="str">
        <f t="shared" si="41"/>
        <v/>
      </c>
      <c r="O103" s="59">
        <f t="shared" si="42"/>
        <v>0.15</v>
      </c>
      <c r="P103" s="59">
        <f t="shared" si="44"/>
        <v>0.05</v>
      </c>
      <c r="Q103" s="59">
        <f t="shared" si="45"/>
        <v>0.8</v>
      </c>
      <c r="R103" s="60" t="str">
        <f t="shared" si="43"/>
        <v>Scenario 4: County Share 5%</v>
      </c>
      <c r="T103" s="31" t="str">
        <f t="shared" si="30"/>
        <v/>
      </c>
      <c r="U103" s="50" t="str">
        <f t="shared" si="31"/>
        <v/>
      </c>
      <c r="V103" s="50" t="str">
        <f t="shared" si="32"/>
        <v/>
      </c>
      <c r="W103" s="50" t="str">
        <f t="shared" si="33"/>
        <v/>
      </c>
      <c r="X103" s="39" t="str">
        <f t="shared" si="34"/>
        <v>Scenario 5: County Share 42.5%</v>
      </c>
    </row>
    <row r="104" spans="1:24" x14ac:dyDescent="0.2">
      <c r="B104" s="1"/>
      <c r="C104" s="1"/>
    </row>
    <row r="105" spans="1:24" x14ac:dyDescent="0.2"/>
  </sheetData>
  <sheetProtection algorithmName="SHA-512" hashValue="g15T3NIE0V8ny/SMO6DeTexM/fHHUYmYHjpb/0EKq0ObURAabNWCOp7xJ6w6EoIvv4xs2sqFIfAIIhUXSDVRMg==" saltValue="OmjsUrLciRq+QbKItVy47A==" spinCount="100000" sheet="1" objects="1" scenarios="1"/>
  <autoFilter ref="A3:X31" xr:uid="{6355CC66-C2BF-414A-BBB7-D59E1638FD79}">
    <sortState xmlns:xlrd2="http://schemas.microsoft.com/office/spreadsheetml/2017/richdata2" ref="A4:X103">
      <sortCondition descending="1" ref="B3:B31"/>
    </sortState>
  </autoFilter>
  <mergeCells count="4">
    <mergeCell ref="Z3:Z4"/>
    <mergeCell ref="AA3:AA4"/>
    <mergeCell ref="AB3:AC3"/>
    <mergeCell ref="AD3:AF3"/>
  </mergeCells>
  <hyperlinks>
    <hyperlink ref="AB2" r:id="rId1" xr:uid="{CD5AAE98-E84B-4311-9A55-DB9453094C29}"/>
  </hyperlinks>
  <pageMargins left="0.7" right="0.7" top="0.75" bottom="0.75" header="0.3" footer="0.3"/>
  <pageSetup orientation="portrait"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431E-EB62-475D-A423-3A3B42B86603}">
  <sheetPr codeName="Sheet3"/>
  <dimension ref="B3:D40"/>
  <sheetViews>
    <sheetView topLeftCell="A3" zoomScale="115" zoomScaleNormal="115" workbookViewId="0">
      <selection activeCell="C4" sqref="C4"/>
    </sheetView>
  </sheetViews>
  <sheetFormatPr defaultRowHeight="15" x14ac:dyDescent="0.25"/>
  <cols>
    <col min="1" max="1" width="3.42578125" customWidth="1"/>
    <col min="2" max="2" width="19.85546875" bestFit="1" customWidth="1"/>
    <col min="3" max="3" width="20.5703125" customWidth="1"/>
    <col min="4" max="4" width="26.140625" customWidth="1"/>
  </cols>
  <sheetData>
    <row r="3" spans="2:4" ht="31.5" x14ac:dyDescent="0.25">
      <c r="B3" s="11" t="s">
        <v>27</v>
      </c>
      <c r="C3" s="11" t="s">
        <v>28</v>
      </c>
      <c r="D3" s="12" t="s">
        <v>30</v>
      </c>
    </row>
    <row r="4" spans="2:4" x14ac:dyDescent="0.25">
      <c r="B4" s="13" t="s">
        <v>10</v>
      </c>
      <c r="C4" s="14" t="s">
        <v>178</v>
      </c>
      <c r="D4" s="15">
        <v>3000000</v>
      </c>
    </row>
    <row r="5" spans="2:4" x14ac:dyDescent="0.25">
      <c r="B5" s="13" t="s">
        <v>53</v>
      </c>
      <c r="C5" s="14" t="s">
        <v>178</v>
      </c>
      <c r="D5" s="15">
        <v>3850000</v>
      </c>
    </row>
    <row r="6" spans="2:4" x14ac:dyDescent="0.25">
      <c r="B6" s="13" t="s">
        <v>58</v>
      </c>
      <c r="C6" s="14" t="s">
        <v>178</v>
      </c>
      <c r="D6" s="15">
        <v>4041713.18</v>
      </c>
    </row>
    <row r="7" spans="2:4" x14ac:dyDescent="0.25">
      <c r="B7" s="13" t="s">
        <v>62</v>
      </c>
      <c r="C7" s="14" t="s">
        <v>178</v>
      </c>
      <c r="D7" s="15">
        <v>1350000</v>
      </c>
    </row>
    <row r="8" spans="2:4" x14ac:dyDescent="0.25">
      <c r="B8" s="13" t="s">
        <v>66</v>
      </c>
      <c r="C8" s="14" t="s">
        <v>178</v>
      </c>
      <c r="D8" s="15">
        <v>1950000</v>
      </c>
    </row>
    <row r="9" spans="2:4" x14ac:dyDescent="0.25">
      <c r="B9" s="13" t="s">
        <v>69</v>
      </c>
      <c r="C9" s="14" t="s">
        <v>178</v>
      </c>
      <c r="D9" s="15">
        <v>531706.65</v>
      </c>
    </row>
    <row r="10" spans="2:4" x14ac:dyDescent="0.25">
      <c r="B10" s="13" t="s">
        <v>70</v>
      </c>
      <c r="C10" s="14" t="s">
        <v>178</v>
      </c>
      <c r="D10" s="15">
        <v>365000</v>
      </c>
    </row>
    <row r="11" spans="2:4" x14ac:dyDescent="0.25">
      <c r="B11" s="13" t="s">
        <v>117</v>
      </c>
      <c r="C11" s="14" t="s">
        <v>178</v>
      </c>
      <c r="D11" s="15">
        <v>2500000</v>
      </c>
    </row>
    <row r="12" spans="2:4" x14ac:dyDescent="0.25">
      <c r="B12" s="13" t="s">
        <v>71</v>
      </c>
      <c r="C12" s="14" t="s">
        <v>178</v>
      </c>
      <c r="D12" s="15">
        <v>400000</v>
      </c>
    </row>
    <row r="13" spans="2:4" x14ac:dyDescent="0.25">
      <c r="B13" s="13" t="s">
        <v>72</v>
      </c>
      <c r="C13" s="14" t="s">
        <v>178</v>
      </c>
      <c r="D13" s="15">
        <v>300000</v>
      </c>
    </row>
    <row r="14" spans="2:4" x14ac:dyDescent="0.25">
      <c r="B14" s="13" t="s">
        <v>122</v>
      </c>
      <c r="C14" s="14" t="s">
        <v>178</v>
      </c>
      <c r="D14" s="15">
        <v>2800000</v>
      </c>
    </row>
    <row r="15" spans="2:4" x14ac:dyDescent="0.25">
      <c r="B15" s="13" t="s">
        <v>73</v>
      </c>
      <c r="C15" s="14" t="s">
        <v>178</v>
      </c>
      <c r="D15" s="15">
        <v>950000</v>
      </c>
    </row>
    <row r="16" spans="2:4" x14ac:dyDescent="0.25">
      <c r="B16" s="13" t="s">
        <v>74</v>
      </c>
      <c r="C16" s="14" t="s">
        <v>178</v>
      </c>
      <c r="D16" s="15">
        <v>2000000</v>
      </c>
    </row>
    <row r="17" spans="2:4" x14ac:dyDescent="0.25">
      <c r="B17" s="13" t="s">
        <v>79</v>
      </c>
      <c r="C17" s="14" t="s">
        <v>178</v>
      </c>
      <c r="D17" s="15">
        <v>200000</v>
      </c>
    </row>
    <row r="18" spans="2:4" x14ac:dyDescent="0.25">
      <c r="B18" s="13" t="s">
        <v>82</v>
      </c>
      <c r="C18" s="14" t="s">
        <v>178</v>
      </c>
      <c r="D18" s="15">
        <v>2000000</v>
      </c>
    </row>
    <row r="19" spans="2:4" x14ac:dyDescent="0.25">
      <c r="B19" s="13" t="s">
        <v>85</v>
      </c>
      <c r="C19" s="14" t="s">
        <v>178</v>
      </c>
      <c r="D19" s="15">
        <v>2000000</v>
      </c>
    </row>
    <row r="20" spans="2:4" x14ac:dyDescent="0.25">
      <c r="B20" s="13" t="s">
        <v>87</v>
      </c>
      <c r="C20" s="14" t="s">
        <v>178</v>
      </c>
      <c r="D20" s="15">
        <v>700000</v>
      </c>
    </row>
    <row r="21" spans="2:4" x14ac:dyDescent="0.25">
      <c r="B21" s="13" t="s">
        <v>135</v>
      </c>
      <c r="C21" s="14" t="s">
        <v>178</v>
      </c>
      <c r="D21" s="15">
        <v>2500000</v>
      </c>
    </row>
    <row r="22" spans="2:4" x14ac:dyDescent="0.25">
      <c r="B22" s="13" t="s">
        <v>90</v>
      </c>
      <c r="C22" s="14" t="s">
        <v>178</v>
      </c>
      <c r="D22" s="15">
        <v>100000</v>
      </c>
    </row>
    <row r="23" spans="2:4" x14ac:dyDescent="0.25">
      <c r="B23" s="13" t="s">
        <v>92</v>
      </c>
      <c r="C23" s="14" t="s">
        <v>178</v>
      </c>
      <c r="D23" s="15">
        <v>1750000</v>
      </c>
    </row>
    <row r="24" spans="2:4" x14ac:dyDescent="0.25">
      <c r="B24" s="13" t="s">
        <v>144</v>
      </c>
      <c r="C24" s="14" t="s">
        <v>178</v>
      </c>
      <c r="D24" s="15">
        <v>1067000</v>
      </c>
    </row>
    <row r="25" spans="2:4" x14ac:dyDescent="0.25">
      <c r="B25" s="13" t="s">
        <v>146</v>
      </c>
      <c r="C25" s="14" t="s">
        <v>178</v>
      </c>
      <c r="D25" s="15">
        <v>400000</v>
      </c>
    </row>
    <row r="26" spans="2:4" x14ac:dyDescent="0.25">
      <c r="B26" s="13" t="s">
        <v>93</v>
      </c>
      <c r="C26" s="14" t="s">
        <v>178</v>
      </c>
      <c r="D26" s="15">
        <v>900000</v>
      </c>
    </row>
    <row r="27" spans="2:4" x14ac:dyDescent="0.25">
      <c r="B27" s="13" t="s">
        <v>151</v>
      </c>
      <c r="C27" s="14" t="s">
        <v>178</v>
      </c>
      <c r="D27" s="15">
        <v>4000000</v>
      </c>
    </row>
    <row r="28" spans="2:4" x14ac:dyDescent="0.25">
      <c r="B28" s="13" t="s">
        <v>153</v>
      </c>
      <c r="C28" s="14" t="s">
        <v>178</v>
      </c>
      <c r="D28" s="15">
        <v>500000</v>
      </c>
    </row>
    <row r="29" spans="2:4" x14ac:dyDescent="0.25">
      <c r="B29" s="13" t="s">
        <v>94</v>
      </c>
      <c r="C29" s="14" t="s">
        <v>178</v>
      </c>
      <c r="D29" s="15">
        <v>600000</v>
      </c>
    </row>
    <row r="30" spans="2:4" x14ac:dyDescent="0.25">
      <c r="B30" s="13" t="s">
        <v>95</v>
      </c>
      <c r="C30" s="14" t="s">
        <v>178</v>
      </c>
      <c r="D30" s="15">
        <v>1066666.67</v>
      </c>
    </row>
    <row r="31" spans="2:4" x14ac:dyDescent="0.25">
      <c r="B31" s="13" t="s">
        <v>98</v>
      </c>
      <c r="C31" s="14" t="s">
        <v>178</v>
      </c>
      <c r="D31" s="15">
        <v>250000</v>
      </c>
    </row>
    <row r="32" spans="2:4" x14ac:dyDescent="0.25">
      <c r="B32" s="13" t="s">
        <v>99</v>
      </c>
      <c r="C32" s="14" t="s">
        <v>178</v>
      </c>
      <c r="D32" s="15">
        <v>1066666.67</v>
      </c>
    </row>
    <row r="33" spans="2:4" x14ac:dyDescent="0.25">
      <c r="B33" s="13" t="s">
        <v>100</v>
      </c>
      <c r="C33" s="14" t="s">
        <v>178</v>
      </c>
      <c r="D33" s="15">
        <v>4000000</v>
      </c>
    </row>
    <row r="34" spans="2:4" x14ac:dyDescent="0.25">
      <c r="B34" s="13" t="s">
        <v>101</v>
      </c>
      <c r="C34" s="14" t="s">
        <v>178</v>
      </c>
      <c r="D34" s="15">
        <v>1000000</v>
      </c>
    </row>
    <row r="35" spans="2:4" x14ac:dyDescent="0.25">
      <c r="B35" s="13" t="s">
        <v>160</v>
      </c>
      <c r="C35" s="14" t="s">
        <v>178</v>
      </c>
      <c r="D35" s="15">
        <v>1800000</v>
      </c>
    </row>
    <row r="36" spans="2:4" x14ac:dyDescent="0.25">
      <c r="B36" s="13" t="s">
        <v>102</v>
      </c>
      <c r="C36" s="14" t="s">
        <v>178</v>
      </c>
      <c r="D36" s="15">
        <v>1500000</v>
      </c>
    </row>
    <row r="37" spans="2:4" x14ac:dyDescent="0.25">
      <c r="B37" s="13" t="s">
        <v>103</v>
      </c>
      <c r="C37" s="14" t="s">
        <v>178</v>
      </c>
      <c r="D37" s="15">
        <v>200000</v>
      </c>
    </row>
    <row r="38" spans="2:4" x14ac:dyDescent="0.25">
      <c r="B38" s="13" t="s">
        <v>104</v>
      </c>
      <c r="C38" s="14" t="s">
        <v>178</v>
      </c>
      <c r="D38" s="15">
        <v>500000</v>
      </c>
    </row>
    <row r="39" spans="2:4" x14ac:dyDescent="0.25">
      <c r="B39" s="13" t="s">
        <v>105</v>
      </c>
      <c r="C39" s="14" t="s">
        <v>178</v>
      </c>
      <c r="D39" s="15">
        <v>6852000</v>
      </c>
    </row>
    <row r="40" spans="2:4" x14ac:dyDescent="0.25">
      <c r="B40" s="13" t="s">
        <v>170</v>
      </c>
      <c r="C40" s="14" t="s">
        <v>178</v>
      </c>
      <c r="D40" s="15">
        <v>400000</v>
      </c>
    </row>
  </sheetData>
  <sheetProtection algorithmName="SHA-512" hashValue="Cuj0GZVUirSA1t/u0+5ik2vza5Hw2VKSltdid/rCea6Ec+ASrvOzltdxYBF75r0wdc5HkEgkDJFmMeWZaAy84g==" saltValue="WReIE0Hbqunz/d6MnmXJs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36E8-9E18-4506-B840-B0A6FC11EAA7}">
  <sheetPr codeName="Sheet4"/>
  <dimension ref="A1:C102"/>
  <sheetViews>
    <sheetView workbookViewId="0">
      <selection sqref="A1:C1"/>
    </sheetView>
  </sheetViews>
  <sheetFormatPr defaultRowHeight="15" x14ac:dyDescent="0.25"/>
  <cols>
    <col min="1" max="1" width="27.42578125" customWidth="1"/>
    <col min="2" max="2" width="27.5703125" style="5" customWidth="1"/>
    <col min="3" max="3" width="18.85546875" customWidth="1"/>
  </cols>
  <sheetData>
    <row r="1" spans="1:3" ht="29.45" customHeight="1" x14ac:dyDescent="0.25">
      <c r="A1" s="87" t="s">
        <v>179</v>
      </c>
      <c r="B1" s="87"/>
      <c r="C1" s="87"/>
    </row>
    <row r="2" spans="1:3" x14ac:dyDescent="0.25">
      <c r="A2" s="25" t="s">
        <v>77</v>
      </c>
      <c r="B2" s="25" t="s">
        <v>180</v>
      </c>
      <c r="C2" s="24" t="s">
        <v>181</v>
      </c>
    </row>
    <row r="3" spans="1:3" x14ac:dyDescent="0.25">
      <c r="A3" s="21" t="s">
        <v>106</v>
      </c>
      <c r="B3" s="23">
        <v>32925136</v>
      </c>
      <c r="C3" s="19" t="s">
        <v>182</v>
      </c>
    </row>
    <row r="4" spans="1:3" x14ac:dyDescent="0.25">
      <c r="A4" s="21" t="s">
        <v>107</v>
      </c>
      <c r="B4" s="23">
        <v>7283353</v>
      </c>
      <c r="C4" s="22" t="s">
        <v>183</v>
      </c>
    </row>
    <row r="5" spans="1:3" x14ac:dyDescent="0.25">
      <c r="A5" s="21" t="s">
        <v>108</v>
      </c>
      <c r="B5" s="20">
        <v>2163232</v>
      </c>
      <c r="C5" s="19" t="s">
        <v>184</v>
      </c>
    </row>
    <row r="6" spans="1:3" x14ac:dyDescent="0.25">
      <c r="A6" s="21" t="s">
        <v>109</v>
      </c>
      <c r="B6" s="23">
        <v>4748349</v>
      </c>
      <c r="C6" s="22" t="s">
        <v>183</v>
      </c>
    </row>
    <row r="7" spans="1:3" x14ac:dyDescent="0.25">
      <c r="A7" s="21" t="s">
        <v>110</v>
      </c>
      <c r="B7" s="23">
        <v>5283864</v>
      </c>
      <c r="C7" s="22" t="s">
        <v>183</v>
      </c>
    </row>
    <row r="8" spans="1:3" x14ac:dyDescent="0.25">
      <c r="A8" s="21" t="s">
        <v>10</v>
      </c>
      <c r="B8" s="20">
        <v>3410241</v>
      </c>
      <c r="C8" s="19" t="s">
        <v>184</v>
      </c>
    </row>
    <row r="9" spans="1:3" x14ac:dyDescent="0.25">
      <c r="A9" s="21" t="s">
        <v>53</v>
      </c>
      <c r="B9" s="23">
        <v>9128034</v>
      </c>
      <c r="C9" s="19" t="s">
        <v>182</v>
      </c>
    </row>
    <row r="10" spans="1:3" x14ac:dyDescent="0.25">
      <c r="A10" s="21" t="s">
        <v>111</v>
      </c>
      <c r="B10" s="20">
        <v>3680233</v>
      </c>
      <c r="C10" s="19" t="s">
        <v>184</v>
      </c>
    </row>
    <row r="11" spans="1:3" x14ac:dyDescent="0.25">
      <c r="A11" s="21" t="s">
        <v>112</v>
      </c>
      <c r="B11" s="23">
        <v>6355865</v>
      </c>
      <c r="C11" s="22" t="s">
        <v>183</v>
      </c>
    </row>
    <row r="12" spans="1:3" x14ac:dyDescent="0.25">
      <c r="A12" s="21" t="s">
        <v>113</v>
      </c>
      <c r="B12" s="23">
        <v>27741111</v>
      </c>
      <c r="C12" s="19" t="s">
        <v>182</v>
      </c>
    </row>
    <row r="13" spans="1:3" x14ac:dyDescent="0.25">
      <c r="A13" s="21" t="s">
        <v>58</v>
      </c>
      <c r="B13" s="23">
        <v>50733290</v>
      </c>
      <c r="C13" s="19" t="s">
        <v>182</v>
      </c>
    </row>
    <row r="14" spans="1:3" x14ac:dyDescent="0.25">
      <c r="A14" s="21" t="s">
        <v>62</v>
      </c>
      <c r="B14" s="23">
        <v>17575650</v>
      </c>
      <c r="C14" s="19" t="s">
        <v>182</v>
      </c>
    </row>
    <row r="15" spans="1:3" x14ac:dyDescent="0.25">
      <c r="A15" s="21" t="s">
        <v>66</v>
      </c>
      <c r="B15" s="23">
        <v>42043458</v>
      </c>
      <c r="C15" s="19" t="s">
        <v>182</v>
      </c>
    </row>
    <row r="16" spans="1:3" x14ac:dyDescent="0.25">
      <c r="A16" s="21" t="s">
        <v>69</v>
      </c>
      <c r="B16" s="23">
        <v>15962113</v>
      </c>
      <c r="C16" s="19" t="s">
        <v>182</v>
      </c>
    </row>
    <row r="17" spans="1:3" x14ac:dyDescent="0.25">
      <c r="A17" s="21" t="s">
        <v>114</v>
      </c>
      <c r="B17" s="20">
        <v>2110787</v>
      </c>
      <c r="C17" s="19" t="s">
        <v>184</v>
      </c>
    </row>
    <row r="18" spans="1:3" x14ac:dyDescent="0.25">
      <c r="A18" s="21" t="s">
        <v>115</v>
      </c>
      <c r="B18" s="23">
        <v>13494316</v>
      </c>
      <c r="C18" s="19" t="s">
        <v>182</v>
      </c>
    </row>
    <row r="19" spans="1:3" x14ac:dyDescent="0.25">
      <c r="A19" s="21" t="s">
        <v>70</v>
      </c>
      <c r="B19" s="23">
        <v>4390562</v>
      </c>
      <c r="C19" s="22" t="s">
        <v>183</v>
      </c>
    </row>
    <row r="20" spans="1:3" x14ac:dyDescent="0.25">
      <c r="A20" s="21" t="s">
        <v>116</v>
      </c>
      <c r="B20" s="23">
        <v>30990911</v>
      </c>
      <c r="C20" s="19" t="s">
        <v>182</v>
      </c>
    </row>
    <row r="21" spans="1:3" x14ac:dyDescent="0.25">
      <c r="A21" s="21" t="s">
        <v>117</v>
      </c>
      <c r="B21" s="23">
        <v>14464924</v>
      </c>
      <c r="C21" s="19" t="s">
        <v>182</v>
      </c>
    </row>
    <row r="22" spans="1:3" x14ac:dyDescent="0.25">
      <c r="A22" s="21" t="s">
        <v>118</v>
      </c>
      <c r="B22" s="23">
        <v>5557546</v>
      </c>
      <c r="C22" s="22" t="s">
        <v>183</v>
      </c>
    </row>
    <row r="23" spans="1:3" x14ac:dyDescent="0.25">
      <c r="A23" s="21" t="s">
        <v>71</v>
      </c>
      <c r="B23" s="20">
        <v>2708264</v>
      </c>
      <c r="C23" s="19" t="s">
        <v>184</v>
      </c>
    </row>
    <row r="24" spans="1:3" x14ac:dyDescent="0.25">
      <c r="A24" s="21" t="s">
        <v>119</v>
      </c>
      <c r="B24" s="20">
        <v>2181490</v>
      </c>
      <c r="C24" s="19" t="s">
        <v>184</v>
      </c>
    </row>
    <row r="25" spans="1:3" x14ac:dyDescent="0.25">
      <c r="A25" s="21" t="s">
        <v>72</v>
      </c>
      <c r="B25" s="23">
        <v>19025057</v>
      </c>
      <c r="C25" s="19" t="s">
        <v>182</v>
      </c>
    </row>
    <row r="26" spans="1:3" x14ac:dyDescent="0.25">
      <c r="A26" s="21" t="s">
        <v>120</v>
      </c>
      <c r="B26" s="23">
        <v>10781778</v>
      </c>
      <c r="C26" s="19" t="s">
        <v>182</v>
      </c>
    </row>
    <row r="27" spans="1:3" x14ac:dyDescent="0.25">
      <c r="A27" s="21" t="s">
        <v>121</v>
      </c>
      <c r="B27" s="23">
        <v>19839303</v>
      </c>
      <c r="C27" s="19" t="s">
        <v>182</v>
      </c>
    </row>
    <row r="28" spans="1:3" x14ac:dyDescent="0.25">
      <c r="A28" s="21" t="s">
        <v>122</v>
      </c>
      <c r="B28" s="23">
        <v>65168690</v>
      </c>
      <c r="C28" s="19" t="s">
        <v>182</v>
      </c>
    </row>
    <row r="29" spans="1:3" x14ac:dyDescent="0.25">
      <c r="A29" s="21" t="s">
        <v>123</v>
      </c>
      <c r="B29" s="23">
        <v>5392637</v>
      </c>
      <c r="C29" s="22" t="s">
        <v>183</v>
      </c>
    </row>
    <row r="30" spans="1:3" x14ac:dyDescent="0.25">
      <c r="A30" s="21" t="s">
        <v>124</v>
      </c>
      <c r="B30" s="23">
        <v>7188564</v>
      </c>
      <c r="C30" s="22" t="s">
        <v>183</v>
      </c>
    </row>
    <row r="31" spans="1:3" x14ac:dyDescent="0.25">
      <c r="A31" s="21" t="s">
        <v>125</v>
      </c>
      <c r="B31" s="23">
        <v>32556083</v>
      </c>
      <c r="C31" s="19" t="s">
        <v>182</v>
      </c>
    </row>
    <row r="32" spans="1:3" x14ac:dyDescent="0.25">
      <c r="A32" s="21" t="s">
        <v>126</v>
      </c>
      <c r="B32" s="23">
        <v>8322333</v>
      </c>
      <c r="C32" s="19" t="s">
        <v>182</v>
      </c>
    </row>
    <row r="33" spans="1:3" x14ac:dyDescent="0.25">
      <c r="A33" s="21" t="s">
        <v>127</v>
      </c>
      <c r="B33" s="23">
        <v>11409751</v>
      </c>
      <c r="C33" s="19" t="s">
        <v>182</v>
      </c>
    </row>
    <row r="34" spans="1:3" x14ac:dyDescent="0.25">
      <c r="A34" s="21" t="s">
        <v>128</v>
      </c>
      <c r="B34" s="23">
        <v>62445275</v>
      </c>
      <c r="C34" s="19" t="s">
        <v>182</v>
      </c>
    </row>
    <row r="35" spans="1:3" x14ac:dyDescent="0.25">
      <c r="A35" s="21" t="s">
        <v>73</v>
      </c>
      <c r="B35" s="23">
        <v>9997833</v>
      </c>
      <c r="C35" s="19" t="s">
        <v>182</v>
      </c>
    </row>
    <row r="36" spans="1:3" x14ac:dyDescent="0.25">
      <c r="A36" s="21" t="s">
        <v>129</v>
      </c>
      <c r="B36" s="23">
        <v>74256322</v>
      </c>
      <c r="C36" s="19" t="s">
        <v>182</v>
      </c>
    </row>
    <row r="37" spans="1:3" x14ac:dyDescent="0.25">
      <c r="A37" s="21" t="s">
        <v>74</v>
      </c>
      <c r="B37" s="23">
        <v>13535494</v>
      </c>
      <c r="C37" s="19" t="s">
        <v>182</v>
      </c>
    </row>
    <row r="38" spans="1:3" x14ac:dyDescent="0.25">
      <c r="A38" s="21" t="s">
        <v>130</v>
      </c>
      <c r="B38" s="23">
        <v>43612126</v>
      </c>
      <c r="C38" s="19" t="s">
        <v>182</v>
      </c>
    </row>
    <row r="39" spans="1:3" x14ac:dyDescent="0.25">
      <c r="A39" s="21" t="s">
        <v>79</v>
      </c>
      <c r="B39" s="20">
        <v>2245783</v>
      </c>
      <c r="C39" s="19" t="s">
        <v>184</v>
      </c>
    </row>
    <row r="40" spans="1:3" x14ac:dyDescent="0.25">
      <c r="A40" s="21" t="s">
        <v>131</v>
      </c>
      <c r="B40" s="20">
        <v>1639565</v>
      </c>
      <c r="C40" s="19" t="s">
        <v>184</v>
      </c>
    </row>
    <row r="41" spans="1:3" x14ac:dyDescent="0.25">
      <c r="A41" s="21" t="s">
        <v>82</v>
      </c>
      <c r="B41" s="23">
        <v>11740344</v>
      </c>
      <c r="C41" s="19" t="s">
        <v>182</v>
      </c>
    </row>
    <row r="42" spans="1:3" x14ac:dyDescent="0.25">
      <c r="A42" s="21" t="s">
        <v>132</v>
      </c>
      <c r="B42" s="23">
        <v>4092406</v>
      </c>
      <c r="C42" s="22" t="s">
        <v>183</v>
      </c>
    </row>
    <row r="43" spans="1:3" x14ac:dyDescent="0.25">
      <c r="A43" s="21" t="s">
        <v>133</v>
      </c>
      <c r="B43" s="23">
        <v>104339752</v>
      </c>
      <c r="C43" s="19" t="s">
        <v>182</v>
      </c>
    </row>
    <row r="44" spans="1:3" x14ac:dyDescent="0.25">
      <c r="A44" s="21" t="s">
        <v>134</v>
      </c>
      <c r="B44" s="23">
        <v>9713856</v>
      </c>
      <c r="C44" s="19" t="s">
        <v>182</v>
      </c>
    </row>
    <row r="45" spans="1:3" x14ac:dyDescent="0.25">
      <c r="A45" s="21" t="s">
        <v>85</v>
      </c>
      <c r="B45" s="23">
        <v>26411744</v>
      </c>
      <c r="C45" s="19" t="s">
        <v>182</v>
      </c>
    </row>
    <row r="46" spans="1:3" x14ac:dyDescent="0.25">
      <c r="A46" s="21" t="s">
        <v>87</v>
      </c>
      <c r="B46" s="23">
        <v>12104347</v>
      </c>
      <c r="C46" s="19" t="s">
        <v>182</v>
      </c>
    </row>
    <row r="47" spans="1:3" x14ac:dyDescent="0.25">
      <c r="A47" s="21" t="s">
        <v>135</v>
      </c>
      <c r="B47" s="23">
        <v>22806876</v>
      </c>
      <c r="C47" s="19" t="s">
        <v>182</v>
      </c>
    </row>
    <row r="48" spans="1:3" x14ac:dyDescent="0.25">
      <c r="A48" s="21" t="s">
        <v>136</v>
      </c>
      <c r="B48" s="23">
        <v>4598980</v>
      </c>
      <c r="C48" s="22" t="s">
        <v>183</v>
      </c>
    </row>
    <row r="49" spans="1:3" x14ac:dyDescent="0.25">
      <c r="A49" s="21" t="s">
        <v>137</v>
      </c>
      <c r="B49" s="23">
        <v>10728557</v>
      </c>
      <c r="C49" s="19" t="s">
        <v>182</v>
      </c>
    </row>
    <row r="50" spans="1:3" x14ac:dyDescent="0.25">
      <c r="A50" s="21" t="s">
        <v>138</v>
      </c>
      <c r="B50" s="20">
        <v>958954</v>
      </c>
      <c r="C50" s="19" t="s">
        <v>184</v>
      </c>
    </row>
    <row r="51" spans="1:3" x14ac:dyDescent="0.25">
      <c r="A51" s="21" t="s">
        <v>139</v>
      </c>
      <c r="B51" s="23">
        <v>35313684</v>
      </c>
      <c r="C51" s="19" t="s">
        <v>182</v>
      </c>
    </row>
    <row r="52" spans="1:3" x14ac:dyDescent="0.25">
      <c r="A52" s="21" t="s">
        <v>140</v>
      </c>
      <c r="B52" s="23">
        <v>8534441</v>
      </c>
      <c r="C52" s="19" t="s">
        <v>182</v>
      </c>
    </row>
    <row r="53" spans="1:3" x14ac:dyDescent="0.25">
      <c r="A53" s="21" t="s">
        <v>141</v>
      </c>
      <c r="B53" s="23">
        <v>40661647</v>
      </c>
      <c r="C53" s="19" t="s">
        <v>182</v>
      </c>
    </row>
    <row r="54" spans="1:3" x14ac:dyDescent="0.25">
      <c r="A54" s="21" t="s">
        <v>90</v>
      </c>
      <c r="B54" s="20">
        <v>1829530</v>
      </c>
      <c r="C54" s="19" t="s">
        <v>184</v>
      </c>
    </row>
    <row r="55" spans="1:3" x14ac:dyDescent="0.25">
      <c r="A55" s="21" t="s">
        <v>92</v>
      </c>
      <c r="B55" s="23">
        <v>11999847</v>
      </c>
      <c r="C55" s="19" t="s">
        <v>182</v>
      </c>
    </row>
    <row r="56" spans="1:3" x14ac:dyDescent="0.25">
      <c r="A56" s="21" t="s">
        <v>142</v>
      </c>
      <c r="B56" s="23">
        <v>10867437</v>
      </c>
      <c r="C56" s="19" t="s">
        <v>182</v>
      </c>
    </row>
    <row r="57" spans="1:3" x14ac:dyDescent="0.25">
      <c r="A57" s="21" t="s">
        <v>143</v>
      </c>
      <c r="B57" s="23">
        <v>16726052</v>
      </c>
      <c r="C57" s="19" t="s">
        <v>182</v>
      </c>
    </row>
    <row r="58" spans="1:3" x14ac:dyDescent="0.25">
      <c r="A58" s="21" t="s">
        <v>144</v>
      </c>
      <c r="B58" s="23">
        <v>6964996</v>
      </c>
      <c r="C58" s="22" t="s">
        <v>183</v>
      </c>
    </row>
    <row r="59" spans="1:3" x14ac:dyDescent="0.25">
      <c r="A59" s="21" t="s">
        <v>145</v>
      </c>
      <c r="B59" s="23">
        <v>4225654</v>
      </c>
      <c r="C59" s="22" t="s">
        <v>183</v>
      </c>
    </row>
    <row r="60" spans="1:3" x14ac:dyDescent="0.25">
      <c r="A60" s="21" t="s">
        <v>146</v>
      </c>
      <c r="B60" s="23">
        <v>4358707</v>
      </c>
      <c r="C60" s="22" t="s">
        <v>183</v>
      </c>
    </row>
    <row r="61" spans="1:3" x14ac:dyDescent="0.25">
      <c r="A61" s="21" t="s">
        <v>93</v>
      </c>
      <c r="B61" s="23">
        <v>8887567</v>
      </c>
      <c r="C61" s="19" t="s">
        <v>182</v>
      </c>
    </row>
    <row r="62" spans="1:3" x14ac:dyDescent="0.25">
      <c r="A62" s="21" t="s">
        <v>147</v>
      </c>
      <c r="B62" s="23">
        <v>215673636</v>
      </c>
      <c r="C62" s="19" t="s">
        <v>182</v>
      </c>
    </row>
    <row r="63" spans="1:3" x14ac:dyDescent="0.25">
      <c r="A63" s="21" t="s">
        <v>148</v>
      </c>
      <c r="B63" s="20">
        <v>2906582</v>
      </c>
      <c r="C63" s="19" t="s">
        <v>184</v>
      </c>
    </row>
    <row r="64" spans="1:3" x14ac:dyDescent="0.25">
      <c r="A64" s="21" t="s">
        <v>149</v>
      </c>
      <c r="B64" s="23">
        <v>5278037</v>
      </c>
      <c r="C64" s="22" t="s">
        <v>183</v>
      </c>
    </row>
    <row r="65" spans="1:3" x14ac:dyDescent="0.25">
      <c r="A65" s="21" t="s">
        <v>150</v>
      </c>
      <c r="B65" s="23">
        <v>19594757</v>
      </c>
      <c r="C65" s="19" t="s">
        <v>182</v>
      </c>
    </row>
    <row r="66" spans="1:3" x14ac:dyDescent="0.25">
      <c r="A66" s="21" t="s">
        <v>151</v>
      </c>
      <c r="B66" s="23">
        <v>18316281</v>
      </c>
      <c r="C66" s="19" t="s">
        <v>182</v>
      </c>
    </row>
    <row r="67" spans="1:3" x14ac:dyDescent="0.25">
      <c r="A67" s="21" t="s">
        <v>152</v>
      </c>
      <c r="B67" s="23">
        <v>45543632</v>
      </c>
      <c r="C67" s="19" t="s">
        <v>182</v>
      </c>
    </row>
    <row r="68" spans="1:3" x14ac:dyDescent="0.25">
      <c r="A68" s="21" t="s">
        <v>153</v>
      </c>
      <c r="B68" s="20">
        <v>3784344</v>
      </c>
      <c r="C68" s="19" t="s">
        <v>184</v>
      </c>
    </row>
    <row r="69" spans="1:3" x14ac:dyDescent="0.25">
      <c r="A69" s="21" t="s">
        <v>154</v>
      </c>
      <c r="B69" s="23">
        <v>38447136</v>
      </c>
      <c r="C69" s="19" t="s">
        <v>182</v>
      </c>
    </row>
    <row r="70" spans="1:3" x14ac:dyDescent="0.25">
      <c r="A70" s="21" t="s">
        <v>155</v>
      </c>
      <c r="B70" s="23">
        <v>28839722</v>
      </c>
      <c r="C70" s="19" t="s">
        <v>182</v>
      </c>
    </row>
    <row r="71" spans="1:3" x14ac:dyDescent="0.25">
      <c r="A71" s="21" t="s">
        <v>94</v>
      </c>
      <c r="B71" s="20">
        <v>2471876</v>
      </c>
      <c r="C71" s="19" t="s">
        <v>184</v>
      </c>
    </row>
    <row r="72" spans="1:3" x14ac:dyDescent="0.25">
      <c r="A72" s="21" t="s">
        <v>95</v>
      </c>
      <c r="B72" s="23">
        <v>7735345</v>
      </c>
      <c r="C72" s="22" t="s">
        <v>183</v>
      </c>
    </row>
    <row r="73" spans="1:3" x14ac:dyDescent="0.25">
      <c r="A73" s="21" t="s">
        <v>156</v>
      </c>
      <c r="B73" s="23">
        <v>12248666</v>
      </c>
      <c r="C73" s="19" t="s">
        <v>182</v>
      </c>
    </row>
    <row r="74" spans="1:3" x14ac:dyDescent="0.25">
      <c r="A74" s="21" t="s">
        <v>98</v>
      </c>
      <c r="B74" s="20">
        <v>2615030</v>
      </c>
      <c r="C74" s="19" t="s">
        <v>184</v>
      </c>
    </row>
    <row r="75" spans="1:3" x14ac:dyDescent="0.25">
      <c r="A75" s="21" t="s">
        <v>99</v>
      </c>
      <c r="B75" s="23">
        <v>7670470</v>
      </c>
      <c r="C75" s="22" t="s">
        <v>183</v>
      </c>
    </row>
    <row r="76" spans="1:3" x14ac:dyDescent="0.25">
      <c r="A76" s="21" t="s">
        <v>100</v>
      </c>
      <c r="B76" s="23">
        <v>35107015</v>
      </c>
      <c r="C76" s="19" t="s">
        <v>182</v>
      </c>
    </row>
    <row r="77" spans="1:3" x14ac:dyDescent="0.25">
      <c r="A77" s="21" t="s">
        <v>101</v>
      </c>
      <c r="B77" s="23">
        <v>4025394</v>
      </c>
      <c r="C77" s="22" t="s">
        <v>183</v>
      </c>
    </row>
    <row r="78" spans="1:3" x14ac:dyDescent="0.25">
      <c r="A78" s="21" t="s">
        <v>157</v>
      </c>
      <c r="B78" s="23">
        <v>27905631</v>
      </c>
      <c r="C78" s="19" t="s">
        <v>182</v>
      </c>
    </row>
    <row r="79" spans="1:3" x14ac:dyDescent="0.25">
      <c r="A79" s="21" t="s">
        <v>158</v>
      </c>
      <c r="B79" s="23">
        <v>8707508</v>
      </c>
      <c r="C79" s="19" t="s">
        <v>182</v>
      </c>
    </row>
    <row r="80" spans="1:3" x14ac:dyDescent="0.25">
      <c r="A80" s="21" t="s">
        <v>159</v>
      </c>
      <c r="B80" s="23">
        <v>25372375</v>
      </c>
      <c r="C80" s="19" t="s">
        <v>182</v>
      </c>
    </row>
    <row r="81" spans="1:3" x14ac:dyDescent="0.25">
      <c r="A81" s="21" t="s">
        <v>160</v>
      </c>
      <c r="B81" s="23">
        <v>17677626</v>
      </c>
      <c r="C81" s="19" t="s">
        <v>182</v>
      </c>
    </row>
    <row r="82" spans="1:3" x14ac:dyDescent="0.25">
      <c r="A82" s="21" t="s">
        <v>161</v>
      </c>
      <c r="B82" s="23">
        <v>27598928</v>
      </c>
      <c r="C82" s="19" t="s">
        <v>182</v>
      </c>
    </row>
    <row r="83" spans="1:3" x14ac:dyDescent="0.25">
      <c r="A83" s="21" t="s">
        <v>162</v>
      </c>
      <c r="B83" s="23">
        <v>13019597</v>
      </c>
      <c r="C83" s="19" t="s">
        <v>182</v>
      </c>
    </row>
    <row r="84" spans="1:3" x14ac:dyDescent="0.25">
      <c r="A84" s="21" t="s">
        <v>163</v>
      </c>
      <c r="B84" s="23">
        <v>12340152</v>
      </c>
      <c r="C84" s="19" t="s">
        <v>182</v>
      </c>
    </row>
    <row r="85" spans="1:3" x14ac:dyDescent="0.25">
      <c r="A85" s="21" t="s">
        <v>164</v>
      </c>
      <c r="B85" s="23">
        <v>6763960</v>
      </c>
      <c r="C85" s="22" t="s">
        <v>183</v>
      </c>
    </row>
    <row r="86" spans="1:3" x14ac:dyDescent="0.25">
      <c r="A86" s="21" t="s">
        <v>102</v>
      </c>
      <c r="B86" s="23">
        <v>12199329</v>
      </c>
      <c r="C86" s="19" t="s">
        <v>182</v>
      </c>
    </row>
    <row r="87" spans="1:3" x14ac:dyDescent="0.25">
      <c r="A87" s="21" t="s">
        <v>165</v>
      </c>
      <c r="B87" s="23">
        <v>8855517</v>
      </c>
      <c r="C87" s="19" t="s">
        <v>182</v>
      </c>
    </row>
    <row r="88" spans="1:3" x14ac:dyDescent="0.25">
      <c r="A88" s="21" t="s">
        <v>166</v>
      </c>
      <c r="B88" s="23">
        <v>13943006</v>
      </c>
      <c r="C88" s="19" t="s">
        <v>182</v>
      </c>
    </row>
    <row r="89" spans="1:3" x14ac:dyDescent="0.25">
      <c r="A89" s="21" t="s">
        <v>103</v>
      </c>
      <c r="B89" s="20">
        <v>2771974</v>
      </c>
      <c r="C89" s="19" t="s">
        <v>184</v>
      </c>
    </row>
    <row r="90" spans="1:3" x14ac:dyDescent="0.25">
      <c r="A90" s="21" t="s">
        <v>167</v>
      </c>
      <c r="B90" s="23">
        <v>6678883</v>
      </c>
      <c r="C90" s="22" t="s">
        <v>183</v>
      </c>
    </row>
    <row r="91" spans="1:3" x14ac:dyDescent="0.25">
      <c r="A91" s="21" t="s">
        <v>168</v>
      </c>
      <c r="B91" s="20">
        <v>780061</v>
      </c>
      <c r="C91" s="19" t="s">
        <v>184</v>
      </c>
    </row>
    <row r="92" spans="1:3" x14ac:dyDescent="0.25">
      <c r="A92" s="21" t="s">
        <v>104</v>
      </c>
      <c r="B92" s="23">
        <v>46589799</v>
      </c>
      <c r="C92" s="19" t="s">
        <v>182</v>
      </c>
    </row>
    <row r="93" spans="1:3" x14ac:dyDescent="0.25">
      <c r="A93" s="21" t="s">
        <v>169</v>
      </c>
      <c r="B93" s="23">
        <v>8650402</v>
      </c>
      <c r="C93" s="19" t="s">
        <v>182</v>
      </c>
    </row>
    <row r="94" spans="1:3" x14ac:dyDescent="0.25">
      <c r="A94" s="21" t="s">
        <v>105</v>
      </c>
      <c r="B94" s="23">
        <v>215946541</v>
      </c>
      <c r="C94" s="19" t="s">
        <v>182</v>
      </c>
    </row>
    <row r="95" spans="1:3" x14ac:dyDescent="0.25">
      <c r="A95" s="21" t="s">
        <v>170</v>
      </c>
      <c r="B95" s="20">
        <v>3832515</v>
      </c>
      <c r="C95" s="19" t="s">
        <v>184</v>
      </c>
    </row>
    <row r="96" spans="1:3" x14ac:dyDescent="0.25">
      <c r="A96" s="21" t="s">
        <v>171</v>
      </c>
      <c r="B96" s="20">
        <v>2249279</v>
      </c>
      <c r="C96" s="19" t="s">
        <v>184</v>
      </c>
    </row>
    <row r="97" spans="1:3" x14ac:dyDescent="0.25">
      <c r="A97" s="21" t="s">
        <v>172</v>
      </c>
      <c r="B97" s="23">
        <v>10911724</v>
      </c>
      <c r="C97" s="19" t="s">
        <v>182</v>
      </c>
    </row>
    <row r="98" spans="1:3" x14ac:dyDescent="0.25">
      <c r="A98" s="21" t="s">
        <v>173</v>
      </c>
      <c r="B98" s="23">
        <v>23916753</v>
      </c>
      <c r="C98" s="19" t="s">
        <v>182</v>
      </c>
    </row>
    <row r="99" spans="1:3" x14ac:dyDescent="0.25">
      <c r="A99" s="21" t="s">
        <v>174</v>
      </c>
      <c r="B99" s="23">
        <v>13288229</v>
      </c>
      <c r="C99" s="19" t="s">
        <v>182</v>
      </c>
    </row>
    <row r="100" spans="1:3" x14ac:dyDescent="0.25">
      <c r="A100" s="21" t="s">
        <v>175</v>
      </c>
      <c r="B100" s="23">
        <v>15888885</v>
      </c>
      <c r="C100" s="19" t="s">
        <v>182</v>
      </c>
    </row>
    <row r="101" spans="1:3" x14ac:dyDescent="0.25">
      <c r="A101" s="21" t="s">
        <v>176</v>
      </c>
      <c r="B101" s="23">
        <v>7316373</v>
      </c>
      <c r="C101" s="22" t="s">
        <v>183</v>
      </c>
    </row>
    <row r="102" spans="1:3" x14ac:dyDescent="0.25">
      <c r="A102" s="21" t="s">
        <v>177</v>
      </c>
      <c r="B102" s="20">
        <v>3509691</v>
      </c>
      <c r="C102" s="19" t="s">
        <v>184</v>
      </c>
    </row>
  </sheetData>
  <sheetProtection algorithmName="SHA-512" hashValue="Ogf5kcvVMdZ7bSIYQarDIvmmNs2Zc4cq9ungJuqMJn1611Tl3K1J4wPWiVmILBBWod53cSli3qmm5d3NkdS7Yg==" saltValue="cZ2hE/XI9vutiwP77Pd1WA==" spinCount="100000" sheet="1" objects="1" scenarios="1"/>
  <autoFilter ref="A2:C102" xr:uid="{CEC6D859-57C8-41D1-B52D-2FB838C5BAA7}"/>
  <mergeCells count="1">
    <mergeCell ref="A1:C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65C4-FDB1-4CAC-8452-72D7C367ACF4}">
  <sheetPr codeName="Sheet1"/>
  <dimension ref="A1:W103"/>
  <sheetViews>
    <sheetView showGridLines="0" zoomScale="55" zoomScaleNormal="55" workbookViewId="0">
      <pane xSplit="1" ySplit="2" topLeftCell="I3" activePane="bottomRight" state="frozen"/>
      <selection pane="topRight" activeCell="K22" sqref="K22"/>
      <selection pane="bottomLeft" activeCell="K22" sqref="K22"/>
      <selection pane="bottomRight" activeCell="K22" sqref="K22"/>
    </sheetView>
  </sheetViews>
  <sheetFormatPr defaultColWidth="8.85546875" defaultRowHeight="14.25" x14ac:dyDescent="0.2"/>
  <cols>
    <col min="1" max="1" width="37" style="4" customWidth="1"/>
    <col min="2" max="2" width="28.85546875" style="3" customWidth="1"/>
    <col min="3" max="3" width="22.42578125" style="3" bestFit="1" customWidth="1"/>
    <col min="4" max="5" width="25.140625" style="10" customWidth="1"/>
    <col min="6" max="6" width="4.85546875" style="2" customWidth="1"/>
    <col min="7" max="7" width="18.42578125" style="9" bestFit="1" customWidth="1"/>
    <col min="8" max="8" width="14.85546875" style="7" bestFit="1" customWidth="1"/>
    <col min="9" max="9" width="35.140625" style="7" bestFit="1" customWidth="1"/>
    <col min="10" max="11" width="31" style="7" bestFit="1" customWidth="1"/>
    <col min="12" max="12" width="2.85546875" style="44" customWidth="1"/>
    <col min="13" max="15" width="21.42578125" style="44" bestFit="1" customWidth="1"/>
    <col min="16" max="16" width="3.140625" style="44" customWidth="1"/>
    <col min="17" max="17" width="12.42578125" style="44" bestFit="1" customWidth="1"/>
    <col min="18" max="18" width="15.140625" style="44" bestFit="1" customWidth="1"/>
    <col min="19" max="19" width="13.42578125" style="44" bestFit="1" customWidth="1"/>
    <col min="20" max="20" width="13.5703125" style="44" bestFit="1" customWidth="1"/>
    <col min="21" max="21" width="30.5703125" style="44" bestFit="1" customWidth="1"/>
    <col min="22" max="22" width="31.5703125" style="44" bestFit="1" customWidth="1"/>
    <col min="23" max="23" width="17.42578125" style="44" bestFit="1" customWidth="1"/>
    <col min="24" max="25" width="15.140625" style="44" bestFit="1" customWidth="1"/>
    <col min="26" max="27" width="14.5703125" style="44" bestFit="1" customWidth="1"/>
    <col min="28" max="28" width="14.42578125" style="44" bestFit="1" customWidth="1"/>
    <col min="29" max="29" width="15" style="44" bestFit="1" customWidth="1"/>
    <col min="30" max="30" width="15.42578125" style="44" bestFit="1" customWidth="1"/>
    <col min="31" max="31" width="16" style="44" bestFit="1" customWidth="1"/>
    <col min="32" max="32" width="14.5703125" style="44" bestFit="1" customWidth="1"/>
    <col min="33" max="33" width="11.140625" style="44" bestFit="1" customWidth="1"/>
    <col min="34" max="35" width="16.42578125" style="44" bestFit="1" customWidth="1"/>
    <col min="36" max="36" width="13.5703125" style="44" bestFit="1" customWidth="1"/>
    <col min="37" max="37" width="18.42578125" style="44" bestFit="1" customWidth="1"/>
    <col min="38" max="38" width="15.42578125" style="44" bestFit="1" customWidth="1"/>
    <col min="39" max="39" width="11.5703125" style="44" bestFit="1" customWidth="1"/>
    <col min="40" max="40" width="15.5703125" style="44" bestFit="1" customWidth="1"/>
    <col min="41" max="41" width="12.42578125" style="44" bestFit="1" customWidth="1"/>
    <col min="42" max="42" width="13.42578125" style="44" bestFit="1" customWidth="1"/>
    <col min="43" max="43" width="14.42578125" style="44" bestFit="1" customWidth="1"/>
    <col min="44" max="44" width="17.5703125" style="44" bestFit="1" customWidth="1"/>
    <col min="45" max="45" width="14" style="44" bestFit="1" customWidth="1"/>
    <col min="46" max="46" width="14.5703125" style="44" bestFit="1" customWidth="1"/>
    <col min="47" max="47" width="13.5703125" style="44" bestFit="1" customWidth="1"/>
    <col min="48" max="48" width="12.42578125" style="44" bestFit="1" customWidth="1"/>
    <col min="49" max="49" width="14.42578125" style="44" bestFit="1" customWidth="1"/>
    <col min="50" max="50" width="15.5703125" style="44" bestFit="1" customWidth="1"/>
    <col min="51" max="51" width="14.140625" style="44" bestFit="1" customWidth="1"/>
    <col min="52" max="52" width="14.85546875" style="44" bestFit="1" customWidth="1"/>
    <col min="53" max="53" width="13.5703125" style="44" bestFit="1" customWidth="1"/>
    <col min="54" max="54" width="14.140625" style="44" bestFit="1" customWidth="1"/>
    <col min="55" max="55" width="15.5703125" style="44" bestFit="1" customWidth="1"/>
    <col min="56" max="56" width="17.42578125" style="44" bestFit="1" customWidth="1"/>
    <col min="57" max="57" width="15" style="44" bestFit="1" customWidth="1"/>
    <col min="58" max="59" width="11.85546875" style="44" bestFit="1" customWidth="1"/>
    <col min="60" max="60" width="13.42578125" style="44" bestFit="1" customWidth="1"/>
    <col min="61" max="61" width="14.42578125" style="44" bestFit="1" customWidth="1"/>
    <col min="62" max="62" width="15.42578125" style="44" bestFit="1" customWidth="1"/>
    <col min="63" max="63" width="12.42578125" style="44" bestFit="1" customWidth="1"/>
    <col min="64" max="64" width="10.5703125" style="44" bestFit="1" customWidth="1"/>
    <col min="65" max="65" width="13" style="44" bestFit="1" customWidth="1"/>
    <col min="66" max="67" width="13.5703125" style="44" bestFit="1" customWidth="1"/>
    <col min="68" max="68" width="15.140625" style="44" bestFit="1" customWidth="1"/>
    <col min="69" max="69" width="13.42578125" style="44" bestFit="1" customWidth="1"/>
    <col min="70" max="70" width="16.42578125" style="44" bestFit="1" customWidth="1"/>
    <col min="71" max="71" width="19.140625" style="44" bestFit="1" customWidth="1"/>
    <col min="72" max="72" width="14.85546875" style="44" bestFit="1" customWidth="1"/>
    <col min="73" max="73" width="19" style="44" bestFit="1" customWidth="1"/>
    <col min="74" max="74" width="13.42578125" style="44" bestFit="1" customWidth="1"/>
    <col min="75" max="75" width="11.5703125" style="44" bestFit="1" customWidth="1"/>
    <col min="76" max="77" width="19.42578125" style="44" bestFit="1" customWidth="1"/>
    <col min="78" max="78" width="14.140625" style="44" bestFit="1" customWidth="1"/>
    <col min="79" max="79" width="13.85546875" style="44" bestFit="1" customWidth="1"/>
    <col min="80" max="80" width="14.42578125" style="44" bestFit="1" customWidth="1"/>
    <col min="81" max="81" width="17.5703125" style="44" bestFit="1" customWidth="1"/>
    <col min="82" max="82" width="13.85546875" style="44" bestFit="1" customWidth="1"/>
    <col min="83" max="83" width="18" style="44" bestFit="1" customWidth="1"/>
    <col min="84" max="84" width="13.5703125" style="44" bestFit="1" customWidth="1"/>
    <col min="85" max="85" width="10.5703125" style="44" bestFit="1" customWidth="1"/>
    <col min="86" max="86" width="11.42578125" style="44" bestFit="1" customWidth="1"/>
    <col min="87" max="87" width="15.5703125" style="44" bestFit="1" customWidth="1"/>
    <col min="88" max="88" width="16.42578125" style="44" bestFit="1" customWidth="1"/>
    <col min="89" max="89" width="15.140625" style="44" bestFit="1" customWidth="1"/>
    <col min="90" max="90" width="18.42578125" style="44" bestFit="1" customWidth="1"/>
    <col min="91" max="91" width="13.42578125" style="44" bestFit="1" customWidth="1"/>
    <col min="92" max="92" width="17.42578125" style="44" bestFit="1" customWidth="1"/>
    <col min="93" max="93" width="15.42578125" style="44" bestFit="1" customWidth="1"/>
    <col min="94" max="94" width="15" style="44" bestFit="1" customWidth="1"/>
    <col min="95" max="95" width="12.85546875" style="44" bestFit="1" customWidth="1"/>
    <col min="96" max="96" width="13.42578125" style="44" bestFit="1" customWidth="1"/>
    <col min="97" max="97" width="12" style="44" bestFit="1" customWidth="1"/>
    <col min="98" max="98" width="12.5703125" style="44" bestFit="1" customWidth="1"/>
    <col min="99" max="99" width="18.42578125" style="44" bestFit="1" customWidth="1"/>
    <col min="100" max="100" width="13.42578125" style="44" bestFit="1" customWidth="1"/>
    <col min="101" max="102" width="12.85546875" style="44" bestFit="1" customWidth="1"/>
    <col min="103" max="103" width="12.42578125" style="44" bestFit="1" customWidth="1"/>
    <col min="104" max="104" width="14.140625" style="44" bestFit="1" customWidth="1"/>
    <col min="105" max="105" width="18.42578125" style="44" bestFit="1" customWidth="1"/>
    <col min="106" max="106" width="15.42578125" style="44" bestFit="1" customWidth="1"/>
    <col min="107" max="109" width="13.5703125" style="44" bestFit="1" customWidth="1"/>
    <col min="110" max="110" width="13.42578125" style="44" bestFit="1" customWidth="1"/>
    <col min="111" max="111" width="13.5703125" style="44" bestFit="1" customWidth="1"/>
    <col min="112" max="112" width="12" style="44" bestFit="1" customWidth="1"/>
    <col min="113" max="113" width="13.5703125" style="44" bestFit="1" customWidth="1"/>
    <col min="114" max="114" width="12" style="44" bestFit="1" customWidth="1"/>
    <col min="115" max="16384" width="8.85546875" style="44"/>
  </cols>
  <sheetData>
    <row r="1" spans="1:23" ht="87.6" customHeight="1" x14ac:dyDescent="0.25">
      <c r="A1" s="88"/>
      <c r="B1" s="88"/>
      <c r="C1" s="88"/>
      <c r="D1" s="88"/>
      <c r="E1" s="46" t="s">
        <v>23</v>
      </c>
      <c r="F1" s="3"/>
      <c r="G1" s="8"/>
      <c r="H1" s="55" t="s">
        <v>185</v>
      </c>
      <c r="I1" s="46" t="s">
        <v>23</v>
      </c>
      <c r="J1" s="55" t="s">
        <v>186</v>
      </c>
      <c r="K1" s="46" t="s">
        <v>23</v>
      </c>
      <c r="M1" s="46" t="s">
        <v>23</v>
      </c>
      <c r="N1" s="46" t="s">
        <v>23</v>
      </c>
      <c r="O1" s="46" t="s">
        <v>23</v>
      </c>
      <c r="Q1" s="47" t="s">
        <v>25</v>
      </c>
      <c r="S1" s="48" t="s">
        <v>26</v>
      </c>
    </row>
    <row r="2" spans="1:23" s="49" customFormat="1" ht="45" customHeight="1" x14ac:dyDescent="0.25">
      <c r="A2" s="11" t="s">
        <v>27</v>
      </c>
      <c r="B2" s="11" t="s">
        <v>28</v>
      </c>
      <c r="C2" s="11" t="s">
        <v>29</v>
      </c>
      <c r="D2" s="12" t="s">
        <v>30</v>
      </c>
      <c r="E2" s="32" t="s">
        <v>187</v>
      </c>
      <c r="F2" s="6"/>
      <c r="G2" s="35" t="s">
        <v>31</v>
      </c>
      <c r="H2" s="42" t="s">
        <v>188</v>
      </c>
      <c r="I2" s="34" t="s">
        <v>189</v>
      </c>
      <c r="J2" s="42" t="s">
        <v>190</v>
      </c>
      <c r="K2" s="34" t="s">
        <v>191</v>
      </c>
      <c r="M2" s="33" t="s">
        <v>43</v>
      </c>
      <c r="N2" s="33" t="s">
        <v>44</v>
      </c>
      <c r="O2" s="33" t="s">
        <v>45</v>
      </c>
      <c r="Q2" s="82" t="s">
        <v>46</v>
      </c>
      <c r="R2" s="82" t="s">
        <v>31</v>
      </c>
      <c r="S2" s="83" t="s">
        <v>47</v>
      </c>
      <c r="T2" s="82"/>
      <c r="U2" s="84"/>
      <c r="V2" s="85"/>
      <c r="W2" s="86"/>
    </row>
    <row r="3" spans="1:23" ht="15" customHeight="1" x14ac:dyDescent="0.2">
      <c r="A3" s="13" t="s">
        <v>10</v>
      </c>
      <c r="B3" s="14" t="str">
        <f>IFERROR(VLOOKUP(A3,'County Contribution Actual'!$B$3:$D$36,2,FALSE),"No")</f>
        <v>yes</v>
      </c>
      <c r="C3" s="43">
        <f>VLOOKUP(A3,'County Funding Level '!$A$2:$B$102,2,FALSE)</f>
        <v>3410241</v>
      </c>
      <c r="D3" s="43">
        <f>IFERROR(VLOOKUP(A3,'County Contribution Actual'!$B$3:$D$36,3,FALSE),"No")</f>
        <v>3000000</v>
      </c>
      <c r="E3" s="15" t="str">
        <f t="shared" ref="E3:E34" si="0">IFERROR(D3/J3,"NA")</f>
        <v>NA</v>
      </c>
      <c r="G3" s="37">
        <f>IF(C3&gt;=$S$4,$R$4,IF(AND(C3&gt;=$S$5,H3=0.15),$R$5,IF(AND(C3&gt;=$S$6,H3&gt;0.15),$R$6,IF(AND(C3&gt;=$S$7,H3=0.15),$R$7,IF(AND(C3&gt;=$S$8,H3&gt;0.15),$R$8,#REF!)))))</f>
        <v>5</v>
      </c>
      <c r="H3" s="28">
        <v>0.16</v>
      </c>
      <c r="I3" s="17" t="str">
        <f t="shared" ref="I3:I34" si="1">IF(OR(G3=3,G3=5),$V$6,IF(G3=2,$V$5,IF(G3=1,$V$4,$V$7)))</f>
        <v>50% of Remaining, no input required</v>
      </c>
      <c r="J3" s="29"/>
      <c r="K3" s="30">
        <f t="shared" ref="K3:K34" si="2">1-H3-J3</f>
        <v>0.84</v>
      </c>
      <c r="M3" s="56" t="str">
        <f t="shared" ref="M3:M34" si="3">IFERROR(E3*H3,"")</f>
        <v/>
      </c>
      <c r="N3" s="56">
        <f t="shared" ref="N3:N34" si="4">D3</f>
        <v>3000000</v>
      </c>
      <c r="O3" s="56" t="str">
        <f t="shared" ref="O3:O34" si="5">IFERROR(E3-M3-N3,"")</f>
        <v/>
      </c>
      <c r="Q3" s="82"/>
      <c r="R3" s="82"/>
      <c r="S3" s="79" t="s">
        <v>48</v>
      </c>
      <c r="T3" s="79" t="s">
        <v>49</v>
      </c>
      <c r="U3" s="79" t="s">
        <v>50</v>
      </c>
      <c r="V3" s="79" t="s">
        <v>51</v>
      </c>
      <c r="W3" s="79" t="s">
        <v>52</v>
      </c>
    </row>
    <row r="4" spans="1:23" ht="15" customHeight="1" x14ac:dyDescent="0.2">
      <c r="A4" s="13" t="s">
        <v>53</v>
      </c>
      <c r="B4" s="14" t="str">
        <f>IFERROR(VLOOKUP(A4,'County Contribution Actual'!$B$3:$D$36,2,FALSE),"No")</f>
        <v>yes</v>
      </c>
      <c r="C4" s="43">
        <f>VLOOKUP(A4,'County Funding Level '!$A$2:$B$102,2,FALSE)</f>
        <v>9128034</v>
      </c>
      <c r="D4" s="43">
        <f>IFERROR(VLOOKUP(A4,'County Contribution Actual'!$B$3:$D$36,3,FALSE),"No")</f>
        <v>3850000</v>
      </c>
      <c r="E4" s="15" t="str">
        <f t="shared" si="0"/>
        <v>NA</v>
      </c>
      <c r="G4" s="37">
        <f>IF(C4&gt;=$S$4,$R$4,IF(AND(C4&gt;=$S$5,H4=0.15),$R$5,IF(AND(C4&gt;=$S$6,H4&gt;0.15),$R$6,IF(AND(C4&gt;=$S$7,H4=0.15),$R$7,IF(AND(C4&gt;=$S$8,H4&gt;0.15),$R$8,#REF!)))))</f>
        <v>1</v>
      </c>
      <c r="H4" s="28">
        <v>0.15</v>
      </c>
      <c r="I4" s="17" t="str">
        <f t="shared" si="1"/>
        <v>&gt;35%</v>
      </c>
      <c r="J4" s="29"/>
      <c r="K4" s="30">
        <f t="shared" si="2"/>
        <v>0.85</v>
      </c>
      <c r="M4" s="56" t="str">
        <f t="shared" si="3"/>
        <v/>
      </c>
      <c r="N4" s="56">
        <f t="shared" si="4"/>
        <v>3850000</v>
      </c>
      <c r="O4" s="56" t="str">
        <f t="shared" si="5"/>
        <v/>
      </c>
      <c r="Q4" s="51" t="s">
        <v>54</v>
      </c>
      <c r="R4" s="52">
        <v>1</v>
      </c>
      <c r="S4" s="50">
        <v>8000000</v>
      </c>
      <c r="T4" s="57"/>
      <c r="U4" s="51" t="s">
        <v>55</v>
      </c>
      <c r="V4" s="30" t="s">
        <v>56</v>
      </c>
      <c r="W4" s="30" t="s">
        <v>57</v>
      </c>
    </row>
    <row r="5" spans="1:23" x14ac:dyDescent="0.2">
      <c r="A5" s="13" t="s">
        <v>58</v>
      </c>
      <c r="B5" s="14" t="str">
        <f>IFERROR(VLOOKUP(A5,'County Contribution Actual'!$B$3:$D$36,2,FALSE),"No")</f>
        <v>yes</v>
      </c>
      <c r="C5" s="43">
        <f>VLOOKUP(A5,'County Funding Level '!$A$2:$B$102,2,FALSE)</f>
        <v>50733290</v>
      </c>
      <c r="D5" s="43">
        <f>IFERROR(VLOOKUP(A5,'County Contribution Actual'!$B$3:$D$36,3,FALSE),"No")</f>
        <v>4041713.18</v>
      </c>
      <c r="E5" s="15" t="str">
        <f t="shared" si="0"/>
        <v>NA</v>
      </c>
      <c r="G5" s="37">
        <f>IF(C5&gt;=$S$4,$R$4,IF(AND(C5&gt;=$S$5,H5=0.15),$R$5,IF(AND(C5&gt;=$S$6,H5&gt;0.15),$R$6,IF(AND(C5&gt;=$S$7,H5=0.15),$R$7,IF(AND(C5&gt;=$S$8,H5&gt;0.15),$R$8,#REF!)))))</f>
        <v>1</v>
      </c>
      <c r="H5" s="28">
        <v>0.28999999999999998</v>
      </c>
      <c r="I5" s="17" t="str">
        <f t="shared" si="1"/>
        <v>&gt;35%</v>
      </c>
      <c r="J5" s="29"/>
      <c r="K5" s="30">
        <f t="shared" si="2"/>
        <v>0.71</v>
      </c>
      <c r="M5" s="56" t="str">
        <f t="shared" si="3"/>
        <v/>
      </c>
      <c r="N5" s="56">
        <f t="shared" si="4"/>
        <v>4041713.18</v>
      </c>
      <c r="O5" s="56" t="str">
        <f t="shared" si="5"/>
        <v/>
      </c>
      <c r="Q5" s="51" t="s">
        <v>59</v>
      </c>
      <c r="R5" s="52">
        <v>2</v>
      </c>
      <c r="S5" s="50">
        <v>4000000</v>
      </c>
      <c r="T5" s="50">
        <v>8000000</v>
      </c>
      <c r="U5" s="30">
        <v>0.15</v>
      </c>
      <c r="V5" s="30" t="s">
        <v>60</v>
      </c>
      <c r="W5" s="30" t="s">
        <v>61</v>
      </c>
    </row>
    <row r="6" spans="1:23" x14ac:dyDescent="0.2">
      <c r="A6" s="13" t="s">
        <v>62</v>
      </c>
      <c r="B6" s="14" t="str">
        <f>IFERROR(VLOOKUP(A6,'County Contribution Actual'!$B$3:$D$36,2,FALSE),"No")</f>
        <v>yes</v>
      </c>
      <c r="C6" s="43">
        <f>VLOOKUP(A6,'County Funding Level '!$A$2:$B$102,2,FALSE)</f>
        <v>17575650</v>
      </c>
      <c r="D6" s="43">
        <f>IFERROR(VLOOKUP(A6,'County Contribution Actual'!$B$3:$D$36,3,FALSE),"No")</f>
        <v>1350000</v>
      </c>
      <c r="E6" s="15" t="str">
        <f t="shared" si="0"/>
        <v>NA</v>
      </c>
      <c r="G6" s="37">
        <f>IF(C6&gt;=$S$4,$R$4,IF(AND(C6&gt;=$S$5,H6=0.15),$R$5,IF(AND(C6&gt;=$S$6,H6&gt;0.15),$R$6,IF(AND(C6&gt;=$S$7,H6=0.15),$R$7,IF(AND(C6&gt;=$S$8,H6&gt;0.15),$R$8,#REF!)))))</f>
        <v>1</v>
      </c>
      <c r="H6" s="28">
        <v>0.16</v>
      </c>
      <c r="I6" s="17" t="str">
        <f t="shared" si="1"/>
        <v>&gt;35%</v>
      </c>
      <c r="J6" s="29"/>
      <c r="K6" s="30">
        <f t="shared" si="2"/>
        <v>0.84</v>
      </c>
      <c r="M6" s="56" t="str">
        <f t="shared" si="3"/>
        <v/>
      </c>
      <c r="N6" s="56">
        <f t="shared" si="4"/>
        <v>1350000</v>
      </c>
      <c r="O6" s="56" t="str">
        <f t="shared" si="5"/>
        <v/>
      </c>
      <c r="Q6" s="51" t="s">
        <v>59</v>
      </c>
      <c r="R6" s="52">
        <v>3</v>
      </c>
      <c r="S6" s="50">
        <v>4000000</v>
      </c>
      <c r="T6" s="50">
        <v>8000000</v>
      </c>
      <c r="U6" s="30" t="s">
        <v>63</v>
      </c>
      <c r="V6" s="30" t="s">
        <v>64</v>
      </c>
      <c r="W6" s="30" t="s">
        <v>65</v>
      </c>
    </row>
    <row r="7" spans="1:23" x14ac:dyDescent="0.2">
      <c r="A7" s="13" t="s">
        <v>66</v>
      </c>
      <c r="B7" s="14" t="str">
        <f>IFERROR(VLOOKUP(A7,'County Contribution Actual'!$B$3:$D$36,2,FALSE),"No")</f>
        <v>yes</v>
      </c>
      <c r="C7" s="43">
        <f>VLOOKUP(A7,'County Funding Level '!$A$2:$B$102,2,FALSE)</f>
        <v>42043458</v>
      </c>
      <c r="D7" s="43">
        <f>IFERROR(VLOOKUP(A7,'County Contribution Actual'!$B$3:$D$36,3,FALSE),"No")</f>
        <v>1950000</v>
      </c>
      <c r="E7" s="15" t="str">
        <f t="shared" si="0"/>
        <v>NA</v>
      </c>
      <c r="G7" s="37">
        <f>IF(C7&gt;=$S$4,$R$4,IF(AND(C7&gt;=$S$5,H7=0.15),$R$5,IF(AND(C7&gt;=$S$6,H7&gt;0.15),$R$6,IF(AND(C7&gt;=$S$7,H7=0.15),$R$7,IF(AND(C7&gt;=$S$8,H7&gt;0.15),$R$8,#REF!)))))</f>
        <v>1</v>
      </c>
      <c r="H7" s="28">
        <v>0.15</v>
      </c>
      <c r="I7" s="17" t="str">
        <f t="shared" si="1"/>
        <v>&gt;35%</v>
      </c>
      <c r="J7" s="29"/>
      <c r="K7" s="30">
        <f t="shared" si="2"/>
        <v>0.85</v>
      </c>
      <c r="M7" s="56" t="str">
        <f t="shared" si="3"/>
        <v/>
      </c>
      <c r="N7" s="56">
        <f t="shared" si="4"/>
        <v>1950000</v>
      </c>
      <c r="O7" s="56" t="str">
        <f t="shared" si="5"/>
        <v/>
      </c>
      <c r="Q7" s="51" t="s">
        <v>59</v>
      </c>
      <c r="R7" s="52">
        <v>4</v>
      </c>
      <c r="S7" s="50">
        <v>250000</v>
      </c>
      <c r="T7" s="50">
        <v>4000000</v>
      </c>
      <c r="U7" s="30">
        <v>0.15</v>
      </c>
      <c r="V7" s="30" t="s">
        <v>67</v>
      </c>
      <c r="W7" s="30" t="s">
        <v>68</v>
      </c>
    </row>
    <row r="8" spans="1:23" x14ac:dyDescent="0.2">
      <c r="A8" s="13" t="s">
        <v>69</v>
      </c>
      <c r="B8" s="14" t="str">
        <f>IFERROR(VLOOKUP(A8,'County Contribution Actual'!$B$3:$D$36,2,FALSE),"No")</f>
        <v>yes</v>
      </c>
      <c r="C8" s="43">
        <f>VLOOKUP(A8,'County Funding Level '!$A$2:$B$102,2,FALSE)</f>
        <v>15962113</v>
      </c>
      <c r="D8" s="43">
        <f>IFERROR(VLOOKUP(A8,'County Contribution Actual'!$B$3:$D$36,3,FALSE),"No")</f>
        <v>531706.65</v>
      </c>
      <c r="E8" s="15" t="str">
        <f t="shared" si="0"/>
        <v>NA</v>
      </c>
      <c r="G8" s="37">
        <f>IF(C8&gt;=$S$4,$R$4,IF(AND(C8&gt;=$S$5,H8=0.15),$R$5,IF(AND(C8&gt;=$S$6,H8&gt;0.15),$R$6,IF(AND(C8&gt;=$S$7,H8=0.15),$R$7,IF(AND(C8&gt;=$S$8,H8&gt;0.15),$R$8,#REF!)))))</f>
        <v>1</v>
      </c>
      <c r="H8" s="28">
        <v>0.28999999999999998</v>
      </c>
      <c r="I8" s="17" t="str">
        <f t="shared" si="1"/>
        <v>&gt;35%</v>
      </c>
      <c r="J8" s="29"/>
      <c r="K8" s="30">
        <f t="shared" si="2"/>
        <v>0.71</v>
      </c>
      <c r="M8" s="56" t="str">
        <f t="shared" si="3"/>
        <v/>
      </c>
      <c r="N8" s="56">
        <f t="shared" si="4"/>
        <v>531706.65</v>
      </c>
      <c r="O8" s="56" t="str">
        <f t="shared" si="5"/>
        <v/>
      </c>
      <c r="Q8" s="51" t="s">
        <v>59</v>
      </c>
      <c r="R8" s="52">
        <v>5</v>
      </c>
      <c r="S8" s="50">
        <v>250000</v>
      </c>
      <c r="T8" s="50">
        <v>4000000</v>
      </c>
      <c r="U8" s="30" t="s">
        <v>63</v>
      </c>
      <c r="V8" s="30" t="s">
        <v>64</v>
      </c>
      <c r="W8" s="30" t="s">
        <v>65</v>
      </c>
    </row>
    <row r="9" spans="1:23" x14ac:dyDescent="0.2">
      <c r="A9" s="13" t="s">
        <v>70</v>
      </c>
      <c r="B9" s="14" t="str">
        <f>IFERROR(VLOOKUP(A9,'County Contribution Actual'!$B$3:$D$36,2,FALSE),"No")</f>
        <v>yes</v>
      </c>
      <c r="C9" s="43">
        <f>VLOOKUP(A9,'County Funding Level '!$A$2:$B$102,2,FALSE)</f>
        <v>4390562</v>
      </c>
      <c r="D9" s="43">
        <f>IFERROR(VLOOKUP(A9,'County Contribution Actual'!$B$3:$D$36,3,FALSE),"No")</f>
        <v>365000</v>
      </c>
      <c r="E9" s="15" t="str">
        <f t="shared" si="0"/>
        <v>NA</v>
      </c>
      <c r="G9" s="37">
        <f>IF(C9&gt;=$S$4,$R$4,IF(AND(C9&gt;=$S$5,H9=0.15),$R$5,IF(AND(C9&gt;=$S$6,H9&gt;0.15),$R$6,IF(AND(C9&gt;=$S$7,H9=0.15),$R$7,IF(AND(C9&gt;=$S$8,H9&gt;0.15),$R$8,#REF!)))))</f>
        <v>3</v>
      </c>
      <c r="H9" s="28">
        <v>0.28999999999999998</v>
      </c>
      <c r="I9" s="17" t="str">
        <f t="shared" si="1"/>
        <v>50% of Remaining, no input required</v>
      </c>
      <c r="J9" s="29"/>
      <c r="K9" s="30">
        <f t="shared" si="2"/>
        <v>0.71</v>
      </c>
      <c r="M9" s="56" t="str">
        <f t="shared" si="3"/>
        <v/>
      </c>
      <c r="N9" s="56">
        <f t="shared" si="4"/>
        <v>365000</v>
      </c>
      <c r="O9" s="56" t="str">
        <f t="shared" si="5"/>
        <v/>
      </c>
      <c r="T9" s="53"/>
    </row>
    <row r="10" spans="1:23" x14ac:dyDescent="0.2">
      <c r="A10" s="13" t="s">
        <v>71</v>
      </c>
      <c r="B10" s="14" t="str">
        <f>IFERROR(VLOOKUP(A10,'County Contribution Actual'!$B$3:$D$36,2,FALSE),"No")</f>
        <v>yes</v>
      </c>
      <c r="C10" s="43">
        <f>VLOOKUP(A10,'County Funding Level '!$A$2:$B$102,2,FALSE)</f>
        <v>2708264</v>
      </c>
      <c r="D10" s="43">
        <f>IFERROR(VLOOKUP(A10,'County Contribution Actual'!$B$3:$D$36,3,FALSE),"No")</f>
        <v>400000</v>
      </c>
      <c r="E10" s="15" t="str">
        <f t="shared" si="0"/>
        <v>NA</v>
      </c>
      <c r="G10" s="37">
        <f>IF(C10&gt;=$S$4,$R$4,IF(AND(C10&gt;=$S$5,H10=0.15),$R$5,IF(AND(C10&gt;=$S$6,H10&gt;0.15),$R$6,IF(AND(C10&gt;=$S$7,H10=0.15),$R$7,IF(AND(C10&gt;=$S$8,H10&gt;0.15),$R$8,#REF!)))))</f>
        <v>5</v>
      </c>
      <c r="H10" s="28">
        <v>0.28999999999999998</v>
      </c>
      <c r="I10" s="17" t="str">
        <f t="shared" si="1"/>
        <v>50% of Remaining, no input required</v>
      </c>
      <c r="J10" s="29"/>
      <c r="K10" s="30">
        <f t="shared" si="2"/>
        <v>0.71</v>
      </c>
      <c r="M10" s="56" t="str">
        <f t="shared" si="3"/>
        <v/>
      </c>
      <c r="N10" s="56">
        <f t="shared" si="4"/>
        <v>400000</v>
      </c>
      <c r="O10" s="56" t="str">
        <f t="shared" si="5"/>
        <v/>
      </c>
      <c r="T10" s="53"/>
    </row>
    <row r="11" spans="1:23" x14ac:dyDescent="0.2">
      <c r="A11" s="13" t="s">
        <v>72</v>
      </c>
      <c r="B11" s="14" t="str">
        <f>IFERROR(VLOOKUP(A11,'County Contribution Actual'!$B$3:$D$36,2,FALSE),"No")</f>
        <v>yes</v>
      </c>
      <c r="C11" s="43">
        <f>VLOOKUP(A11,'County Funding Level '!$A$2:$B$102,2,FALSE)</f>
        <v>19025057</v>
      </c>
      <c r="D11" s="43">
        <f>IFERROR(VLOOKUP(A11,'County Contribution Actual'!$B$3:$D$36,3,FALSE),"No")</f>
        <v>300000</v>
      </c>
      <c r="E11" s="15" t="str">
        <f t="shared" si="0"/>
        <v>NA</v>
      </c>
      <c r="G11" s="37">
        <f>IF(C11&gt;=$S$4,$R$4,IF(AND(C11&gt;=$S$5,H11=0.15),$R$5,IF(AND(C11&gt;=$S$6,H11&gt;0.15),$R$6,IF(AND(C11&gt;=$S$7,H11=0.15),$R$7,IF(AND(C11&gt;=$S$8,H11&gt;0.15),$R$8,#REF!)))))</f>
        <v>1</v>
      </c>
      <c r="H11" s="28">
        <v>0.22</v>
      </c>
      <c r="I11" s="17" t="str">
        <f t="shared" si="1"/>
        <v>&gt;35%</v>
      </c>
      <c r="J11" s="29"/>
      <c r="K11" s="30">
        <f t="shared" si="2"/>
        <v>0.78</v>
      </c>
      <c r="M11" s="56" t="str">
        <f t="shared" si="3"/>
        <v/>
      </c>
      <c r="N11" s="56">
        <f t="shared" si="4"/>
        <v>300000</v>
      </c>
      <c r="O11" s="56" t="str">
        <f t="shared" si="5"/>
        <v/>
      </c>
      <c r="T11" s="53"/>
    </row>
    <row r="12" spans="1:23" x14ac:dyDescent="0.2">
      <c r="A12" s="13" t="s">
        <v>73</v>
      </c>
      <c r="B12" s="14" t="str">
        <f>IFERROR(VLOOKUP(A12,'County Contribution Actual'!$B$3:$D$36,2,FALSE),"No")</f>
        <v>yes</v>
      </c>
      <c r="C12" s="43">
        <f>VLOOKUP(A12,'County Funding Level '!$A$2:$B$102,2,FALSE)</f>
        <v>9997833</v>
      </c>
      <c r="D12" s="43">
        <f>IFERROR(VLOOKUP(A12,'County Contribution Actual'!$B$3:$D$36,3,FALSE),"No")</f>
        <v>950000</v>
      </c>
      <c r="E12" s="15" t="str">
        <f t="shared" si="0"/>
        <v>NA</v>
      </c>
      <c r="G12" s="37">
        <f>IF(C12&gt;=$S$4,$R$4,IF(AND(C12&gt;=$S$5,H12=0.15),$R$5,IF(AND(C12&gt;=$S$6,H12&gt;0.15),$R$6,IF(AND(C12&gt;=$S$7,H12=0.15),$R$7,IF(AND(C12&gt;=$S$8,H12&gt;0.15),$R$8,#REF!)))))</f>
        <v>1</v>
      </c>
      <c r="H12" s="28">
        <v>0.3</v>
      </c>
      <c r="I12" s="17" t="str">
        <f t="shared" si="1"/>
        <v>&gt;35%</v>
      </c>
      <c r="J12" s="29"/>
      <c r="K12" s="30">
        <f t="shared" si="2"/>
        <v>0.7</v>
      </c>
      <c r="M12" s="56" t="str">
        <f t="shared" si="3"/>
        <v/>
      </c>
      <c r="N12" s="56">
        <f t="shared" si="4"/>
        <v>950000</v>
      </c>
      <c r="O12" s="56" t="str">
        <f t="shared" si="5"/>
        <v/>
      </c>
      <c r="T12" s="53"/>
    </row>
    <row r="13" spans="1:23" x14ac:dyDescent="0.2">
      <c r="A13" s="13" t="s">
        <v>74</v>
      </c>
      <c r="B13" s="14" t="str">
        <f>IFERROR(VLOOKUP(A13,'County Contribution Actual'!$B$3:$D$36,2,FALSE),"No")</f>
        <v>yes</v>
      </c>
      <c r="C13" s="43">
        <f>VLOOKUP(A13,'County Funding Level '!$A$2:$B$102,2,FALSE)</f>
        <v>13535494</v>
      </c>
      <c r="D13" s="43">
        <f>IFERROR(VLOOKUP(A13,'County Contribution Actual'!$B$3:$D$36,3,FALSE),"No")</f>
        <v>2000000</v>
      </c>
      <c r="E13" s="15" t="str">
        <f t="shared" si="0"/>
        <v>NA</v>
      </c>
      <c r="G13" s="37">
        <f>IF(C13&gt;=$S$4,$R$4,IF(AND(C13&gt;=$S$5,H13=0.15),$R$5,IF(AND(C13&gt;=$S$6,H13&gt;0.15),$R$6,IF(AND(C13&gt;=$S$7,H13=0.15),$R$7,IF(AND(C13&gt;=$S$8,H13&gt;0.15),$R$8,#REF!)))))</f>
        <v>1</v>
      </c>
      <c r="H13" s="28">
        <v>0.3</v>
      </c>
      <c r="I13" s="17" t="str">
        <f t="shared" si="1"/>
        <v>&gt;35%</v>
      </c>
      <c r="J13" s="29"/>
      <c r="K13" s="30">
        <f t="shared" si="2"/>
        <v>0.7</v>
      </c>
      <c r="M13" s="56" t="str">
        <f t="shared" si="3"/>
        <v/>
      </c>
      <c r="N13" s="56">
        <f t="shared" si="4"/>
        <v>2000000</v>
      </c>
      <c r="O13" s="56" t="str">
        <f t="shared" si="5"/>
        <v/>
      </c>
      <c r="T13" s="53"/>
    </row>
    <row r="14" spans="1:23" x14ac:dyDescent="0.2">
      <c r="A14" s="13" t="s">
        <v>79</v>
      </c>
      <c r="B14" s="14" t="str">
        <f>IFERROR(VLOOKUP(A14,'County Contribution Actual'!$B$3:$D$36,2,FALSE),"No")</f>
        <v>yes</v>
      </c>
      <c r="C14" s="43">
        <f>VLOOKUP(A14,'County Funding Level '!$A$2:$B$102,2,FALSE)</f>
        <v>2245783</v>
      </c>
      <c r="D14" s="43">
        <f>IFERROR(VLOOKUP(A14,'County Contribution Actual'!$B$3:$D$36,3,FALSE),"No")</f>
        <v>200000</v>
      </c>
      <c r="E14" s="15" t="str">
        <f t="shared" si="0"/>
        <v>NA</v>
      </c>
      <c r="G14" s="37">
        <f>IF(C14&gt;=$S$4,$R$4,IF(AND(C14&gt;=$S$5,H14=0.15),$R$5,IF(AND(C14&gt;=$S$6,H14&gt;0.15),$R$6,IF(AND(C14&gt;=$S$7,H14=0.15),$R$7,IF(AND(C14&gt;=$S$8,H14&gt;0.15),$R$8,#REF!)))))</f>
        <v>5</v>
      </c>
      <c r="H14" s="28">
        <v>0.3</v>
      </c>
      <c r="I14" s="17" t="str">
        <f t="shared" si="1"/>
        <v>50% of Remaining, no input required</v>
      </c>
      <c r="J14" s="29"/>
      <c r="K14" s="30">
        <f t="shared" si="2"/>
        <v>0.7</v>
      </c>
      <c r="M14" s="56" t="str">
        <f t="shared" si="3"/>
        <v/>
      </c>
      <c r="N14" s="56">
        <f t="shared" si="4"/>
        <v>200000</v>
      </c>
      <c r="O14" s="56" t="str">
        <f t="shared" si="5"/>
        <v/>
      </c>
      <c r="T14" s="53"/>
    </row>
    <row r="15" spans="1:23" x14ac:dyDescent="0.2">
      <c r="A15" s="13" t="s">
        <v>82</v>
      </c>
      <c r="B15" s="14" t="str">
        <f>IFERROR(VLOOKUP(A15,'County Contribution Actual'!$B$3:$D$36,2,FALSE),"No")</f>
        <v>yes</v>
      </c>
      <c r="C15" s="43">
        <f>VLOOKUP(A15,'County Funding Level '!$A$2:$B$102,2,FALSE)</f>
        <v>11740344</v>
      </c>
      <c r="D15" s="43">
        <f>IFERROR(VLOOKUP(A15,'County Contribution Actual'!$B$3:$D$36,3,FALSE),"No")</f>
        <v>2000000</v>
      </c>
      <c r="E15" s="15" t="str">
        <f t="shared" si="0"/>
        <v>NA</v>
      </c>
      <c r="G15" s="37">
        <f>IF(C15&gt;=$S$4,$R$4,IF(AND(C15&gt;=$S$5,H15=0.15),$R$5,IF(AND(C15&gt;=$S$6,H15&gt;0.15),$R$6,IF(AND(C15&gt;=$S$7,H15=0.15),$R$7,IF(AND(C15&gt;=$S$8,H15&gt;0.15),$R$8,#REF!)))))</f>
        <v>1</v>
      </c>
      <c r="H15" s="28">
        <v>0.3</v>
      </c>
      <c r="I15" s="17" t="str">
        <f t="shared" si="1"/>
        <v>&gt;35%</v>
      </c>
      <c r="J15" s="29"/>
      <c r="K15" s="30">
        <f t="shared" si="2"/>
        <v>0.7</v>
      </c>
      <c r="M15" s="56" t="str">
        <f t="shared" si="3"/>
        <v/>
      </c>
      <c r="N15" s="56">
        <f t="shared" si="4"/>
        <v>2000000</v>
      </c>
      <c r="O15" s="56" t="str">
        <f t="shared" si="5"/>
        <v/>
      </c>
      <c r="T15" s="53"/>
    </row>
    <row r="16" spans="1:23" x14ac:dyDescent="0.2">
      <c r="A16" s="13" t="s">
        <v>85</v>
      </c>
      <c r="B16" s="14" t="str">
        <f>IFERROR(VLOOKUP(A16,'County Contribution Actual'!$B$3:$D$36,2,FALSE),"No")</f>
        <v>yes</v>
      </c>
      <c r="C16" s="43">
        <f>VLOOKUP(A16,'County Funding Level '!$A$2:$B$102,2,FALSE)</f>
        <v>26411744</v>
      </c>
      <c r="D16" s="43">
        <f>IFERROR(VLOOKUP(A16,'County Contribution Actual'!$B$3:$D$36,3,FALSE),"No")</f>
        <v>2000000</v>
      </c>
      <c r="E16" s="15" t="str">
        <f t="shared" si="0"/>
        <v>NA</v>
      </c>
      <c r="G16" s="37">
        <f>IF(C16&gt;=$S$4,$R$4,IF(AND(C16&gt;=$S$5,H16=0.15),$R$5,IF(AND(C16&gt;=$S$6,H16&gt;0.15),$R$6,IF(AND(C16&gt;=$S$7,H16=0.15),$R$7,IF(AND(C16&gt;=$S$8,H16&gt;0.15),$R$8,#REF!)))))</f>
        <v>1</v>
      </c>
      <c r="H16" s="28">
        <v>0.3</v>
      </c>
      <c r="I16" s="17" t="str">
        <f t="shared" si="1"/>
        <v>&gt;35%</v>
      </c>
      <c r="J16" s="29"/>
      <c r="K16" s="30">
        <f t="shared" si="2"/>
        <v>0.7</v>
      </c>
      <c r="M16" s="56" t="str">
        <f t="shared" si="3"/>
        <v/>
      </c>
      <c r="N16" s="56">
        <f t="shared" si="4"/>
        <v>2000000</v>
      </c>
      <c r="O16" s="56" t="str">
        <f t="shared" si="5"/>
        <v/>
      </c>
      <c r="T16" s="53"/>
    </row>
    <row r="17" spans="1:20" x14ac:dyDescent="0.2">
      <c r="A17" s="13" t="s">
        <v>87</v>
      </c>
      <c r="B17" s="14" t="str">
        <f>IFERROR(VLOOKUP(A17,'County Contribution Actual'!$B$3:$D$36,2,FALSE),"No")</f>
        <v>yes</v>
      </c>
      <c r="C17" s="43">
        <f>VLOOKUP(A17,'County Funding Level '!$A$2:$B$102,2,FALSE)</f>
        <v>12104347</v>
      </c>
      <c r="D17" s="43">
        <f>IFERROR(VLOOKUP(A17,'County Contribution Actual'!$B$3:$D$36,3,FALSE),"No")</f>
        <v>700000</v>
      </c>
      <c r="E17" s="15" t="str">
        <f t="shared" si="0"/>
        <v>NA</v>
      </c>
      <c r="G17" s="37">
        <f>IF(C17&gt;=$S$4,$R$4,IF(AND(C17&gt;=$S$5,H17=0.15),$R$5,IF(AND(C17&gt;=$S$6,H17&gt;0.15),$R$6,IF(AND(C17&gt;=$S$7,H17=0.15),$R$7,IF(AND(C17&gt;=$S$8,H17&gt;0.15),$R$8,#REF!)))))</f>
        <v>1</v>
      </c>
      <c r="H17" s="28">
        <v>0.3</v>
      </c>
      <c r="I17" s="17" t="str">
        <f t="shared" si="1"/>
        <v>&gt;35%</v>
      </c>
      <c r="J17" s="29"/>
      <c r="K17" s="30">
        <f t="shared" si="2"/>
        <v>0.7</v>
      </c>
      <c r="M17" s="56" t="str">
        <f t="shared" si="3"/>
        <v/>
      </c>
      <c r="N17" s="56">
        <f t="shared" si="4"/>
        <v>700000</v>
      </c>
      <c r="O17" s="56" t="str">
        <f t="shared" si="5"/>
        <v/>
      </c>
    </row>
    <row r="18" spans="1:20" x14ac:dyDescent="0.2">
      <c r="A18" s="13" t="s">
        <v>90</v>
      </c>
      <c r="B18" s="14" t="str">
        <f>IFERROR(VLOOKUP(A18,'County Contribution Actual'!$B$3:$D$36,2,FALSE),"No")</f>
        <v>yes</v>
      </c>
      <c r="C18" s="43">
        <f>VLOOKUP(A18,'County Funding Level '!$A$2:$B$102,2,FALSE)</f>
        <v>1829530</v>
      </c>
      <c r="D18" s="43">
        <f>IFERROR(VLOOKUP(A18,'County Contribution Actual'!$B$3:$D$36,3,FALSE),"No")</f>
        <v>100000</v>
      </c>
      <c r="E18" s="15" t="str">
        <f t="shared" si="0"/>
        <v>NA</v>
      </c>
      <c r="G18" s="37">
        <f>IF(C18&gt;=$S$4,$R$4,IF(AND(C18&gt;=$S$5,H18=0.15),$R$5,IF(AND(C18&gt;=$S$6,H18&gt;0.15),$R$6,IF(AND(C18&gt;=$S$7,H18=0.15),$R$7,IF(AND(C18&gt;=$S$8,H18&gt;0.15),$R$8,#REF!)))))</f>
        <v>5</v>
      </c>
      <c r="H18" s="28">
        <v>0.3</v>
      </c>
      <c r="I18" s="17" t="str">
        <f t="shared" si="1"/>
        <v>50% of Remaining, no input required</v>
      </c>
      <c r="J18" s="29"/>
      <c r="K18" s="30">
        <f t="shared" si="2"/>
        <v>0.7</v>
      </c>
      <c r="M18" s="56" t="str">
        <f t="shared" si="3"/>
        <v/>
      </c>
      <c r="N18" s="56">
        <f t="shared" si="4"/>
        <v>100000</v>
      </c>
      <c r="O18" s="56" t="str">
        <f t="shared" si="5"/>
        <v/>
      </c>
      <c r="T18" s="53"/>
    </row>
    <row r="19" spans="1:20" x14ac:dyDescent="0.2">
      <c r="A19" s="13" t="s">
        <v>92</v>
      </c>
      <c r="B19" s="14" t="str">
        <f>IFERROR(VLOOKUP(A19,'County Contribution Actual'!$B$3:$D$36,2,FALSE),"No")</f>
        <v>yes</v>
      </c>
      <c r="C19" s="43">
        <f>VLOOKUP(A19,'County Funding Level '!$A$2:$B$102,2,FALSE)</f>
        <v>11999847</v>
      </c>
      <c r="D19" s="43">
        <f>IFERROR(VLOOKUP(A19,'County Contribution Actual'!$B$3:$D$36,3,FALSE),"No")</f>
        <v>1750000</v>
      </c>
      <c r="E19" s="15" t="str">
        <f t="shared" si="0"/>
        <v>NA</v>
      </c>
      <c r="G19" s="37">
        <f>IF(C19&gt;=$S$4,$R$4,IF(AND(C19&gt;=$S$5,H19=0.15),$R$5,IF(AND(C19&gt;=$S$6,H19&gt;0.15),$R$6,IF(AND(C19&gt;=$S$7,H19=0.15),$R$7,IF(AND(C19&gt;=$S$8,H19&gt;0.15),$R$8,#REF!)))))</f>
        <v>1</v>
      </c>
      <c r="H19" s="28">
        <v>0.3</v>
      </c>
      <c r="I19" s="17" t="str">
        <f t="shared" si="1"/>
        <v>&gt;35%</v>
      </c>
      <c r="J19" s="29"/>
      <c r="K19" s="30">
        <f t="shared" si="2"/>
        <v>0.7</v>
      </c>
      <c r="M19" s="56" t="str">
        <f t="shared" si="3"/>
        <v/>
      </c>
      <c r="N19" s="56">
        <f t="shared" si="4"/>
        <v>1750000</v>
      </c>
      <c r="O19" s="56" t="str">
        <f t="shared" si="5"/>
        <v/>
      </c>
      <c r="T19" s="53"/>
    </row>
    <row r="20" spans="1:20" x14ac:dyDescent="0.2">
      <c r="A20" s="13" t="s">
        <v>93</v>
      </c>
      <c r="B20" s="14" t="str">
        <f>IFERROR(VLOOKUP(A20,'County Contribution Actual'!$B$3:$D$36,2,FALSE),"No")</f>
        <v>yes</v>
      </c>
      <c r="C20" s="43">
        <f>VLOOKUP(A20,'County Funding Level '!$A$2:$B$102,2,FALSE)</f>
        <v>8887567</v>
      </c>
      <c r="D20" s="43">
        <f>IFERROR(VLOOKUP(A20,'County Contribution Actual'!$B$3:$D$36,3,FALSE),"No")</f>
        <v>900000</v>
      </c>
      <c r="E20" s="15" t="str">
        <f t="shared" si="0"/>
        <v>NA</v>
      </c>
      <c r="G20" s="37">
        <f>IF(C20&gt;=$S$4,$R$4,IF(AND(C20&gt;=$S$5,H20=0.15),$R$5,IF(AND(C20&gt;=$S$6,H20&gt;0.15),$R$6,IF(AND(C20&gt;=$S$7,H20=0.15),$R$7,IF(AND(C20&gt;=$S$8,H20&gt;0.15),$R$8,#REF!)))))</f>
        <v>1</v>
      </c>
      <c r="H20" s="28">
        <v>0.3</v>
      </c>
      <c r="I20" s="17" t="str">
        <f t="shared" si="1"/>
        <v>&gt;35%</v>
      </c>
      <c r="J20" s="29"/>
      <c r="K20" s="30">
        <f t="shared" si="2"/>
        <v>0.7</v>
      </c>
      <c r="M20" s="56" t="str">
        <f t="shared" si="3"/>
        <v/>
      </c>
      <c r="N20" s="56">
        <f t="shared" si="4"/>
        <v>900000</v>
      </c>
      <c r="O20" s="56" t="str">
        <f t="shared" si="5"/>
        <v/>
      </c>
      <c r="T20" s="53"/>
    </row>
    <row r="21" spans="1:20" x14ac:dyDescent="0.2">
      <c r="A21" s="13" t="s">
        <v>94</v>
      </c>
      <c r="B21" s="14" t="str">
        <f>IFERROR(VLOOKUP(A21,'County Contribution Actual'!$B$3:$D$36,2,FALSE),"No")</f>
        <v>yes</v>
      </c>
      <c r="C21" s="43">
        <f>VLOOKUP(A21,'County Funding Level '!$A$2:$B$102,2,FALSE)</f>
        <v>2471876</v>
      </c>
      <c r="D21" s="43">
        <f>IFERROR(VLOOKUP(A21,'County Contribution Actual'!$B$3:$D$36,3,FALSE),"No")</f>
        <v>600000</v>
      </c>
      <c r="E21" s="15" t="str">
        <f t="shared" si="0"/>
        <v>NA</v>
      </c>
      <c r="G21" s="37">
        <f>IF(C21&gt;=$S$4,$R$4,IF(AND(C21&gt;=$S$5,H21=0.15),$R$5,IF(AND(C21&gt;=$S$6,H21&gt;0.15),$R$6,IF(AND(C21&gt;=$S$7,H21=0.15),$R$7,IF(AND(C21&gt;=$S$8,H21&gt;0.15),$R$8,#REF!)))))</f>
        <v>5</v>
      </c>
      <c r="H21" s="28">
        <v>0.3</v>
      </c>
      <c r="I21" s="17" t="str">
        <f t="shared" si="1"/>
        <v>50% of Remaining, no input required</v>
      </c>
      <c r="J21" s="29"/>
      <c r="K21" s="30">
        <f t="shared" si="2"/>
        <v>0.7</v>
      </c>
      <c r="M21" s="56" t="str">
        <f t="shared" si="3"/>
        <v/>
      </c>
      <c r="N21" s="56">
        <f t="shared" si="4"/>
        <v>600000</v>
      </c>
      <c r="O21" s="56" t="str">
        <f t="shared" si="5"/>
        <v/>
      </c>
      <c r="T21" s="53"/>
    </row>
    <row r="22" spans="1:20" x14ac:dyDescent="0.2">
      <c r="A22" s="13" t="s">
        <v>95</v>
      </c>
      <c r="B22" s="14" t="str">
        <f>IFERROR(VLOOKUP(A22,'County Contribution Actual'!$B$3:$D$36,2,FALSE),"No")</f>
        <v>yes</v>
      </c>
      <c r="C22" s="43">
        <f>VLOOKUP(A22,'County Funding Level '!$A$2:$B$102,2,FALSE)</f>
        <v>7735345</v>
      </c>
      <c r="D22" s="43">
        <f>IFERROR(VLOOKUP(A22,'County Contribution Actual'!$B$3:$D$36,3,FALSE),"No")</f>
        <v>1066666.67</v>
      </c>
      <c r="E22" s="15" t="str">
        <f t="shared" si="0"/>
        <v>NA</v>
      </c>
      <c r="G22" s="37">
        <f>IF(C22&gt;=$S$4,$R$4,IF(AND(C22&gt;=$S$5,H22=0.15),$R$5,IF(AND(C22&gt;=$S$6,H22&gt;0.15),$R$6,IF(AND(C22&gt;=$S$7,H22=0.15),$R$7,IF(AND(C22&gt;=$S$8,H22&gt;0.15),$R$8,#REF!)))))</f>
        <v>3</v>
      </c>
      <c r="H22" s="28">
        <v>0.3</v>
      </c>
      <c r="I22" s="17" t="str">
        <f t="shared" si="1"/>
        <v>50% of Remaining, no input required</v>
      </c>
      <c r="J22" s="29"/>
      <c r="K22" s="30">
        <f t="shared" si="2"/>
        <v>0.7</v>
      </c>
      <c r="M22" s="56" t="str">
        <f t="shared" si="3"/>
        <v/>
      </c>
      <c r="N22" s="56">
        <f t="shared" si="4"/>
        <v>1066666.67</v>
      </c>
      <c r="O22" s="56" t="str">
        <f t="shared" si="5"/>
        <v/>
      </c>
      <c r="T22" s="53"/>
    </row>
    <row r="23" spans="1:20" x14ac:dyDescent="0.2">
      <c r="A23" s="13" t="s">
        <v>98</v>
      </c>
      <c r="B23" s="14" t="str">
        <f>IFERROR(VLOOKUP(A23,'County Contribution Actual'!$B$3:$D$36,2,FALSE),"No")</f>
        <v>yes</v>
      </c>
      <c r="C23" s="43">
        <f>VLOOKUP(A23,'County Funding Level '!$A$2:$B$102,2,FALSE)</f>
        <v>2615030</v>
      </c>
      <c r="D23" s="43">
        <f>IFERROR(VLOOKUP(A23,'County Contribution Actual'!$B$3:$D$36,3,FALSE),"No")</f>
        <v>250000</v>
      </c>
      <c r="E23" s="15" t="str">
        <f t="shared" si="0"/>
        <v>NA</v>
      </c>
      <c r="G23" s="37">
        <f>IF(C23&gt;=$S$4,$R$4,IF(AND(C23&gt;=$S$5,H23=0.15),$R$5,IF(AND(C23&gt;=$S$6,H23&gt;0.15),$R$6,IF(AND(C23&gt;=$S$7,H23=0.15),$R$7,IF(AND(C23&gt;=$S$8,H23&gt;0.15),$R$8,#REF!)))))</f>
        <v>5</v>
      </c>
      <c r="H23" s="28">
        <v>0.3</v>
      </c>
      <c r="I23" s="17" t="str">
        <f t="shared" si="1"/>
        <v>50% of Remaining, no input required</v>
      </c>
      <c r="J23" s="29"/>
      <c r="K23" s="30">
        <f t="shared" si="2"/>
        <v>0.7</v>
      </c>
      <c r="M23" s="56" t="str">
        <f t="shared" si="3"/>
        <v/>
      </c>
      <c r="N23" s="56">
        <f t="shared" si="4"/>
        <v>250000</v>
      </c>
      <c r="O23" s="56" t="str">
        <f t="shared" si="5"/>
        <v/>
      </c>
      <c r="T23" s="53"/>
    </row>
    <row r="24" spans="1:20" ht="15.75" customHeight="1" x14ac:dyDescent="0.2">
      <c r="A24" s="13" t="s">
        <v>99</v>
      </c>
      <c r="B24" s="14" t="str">
        <f>IFERROR(VLOOKUP(A24,'County Contribution Actual'!$B$3:$D$36,2,FALSE),"No")</f>
        <v>yes</v>
      </c>
      <c r="C24" s="43">
        <f>VLOOKUP(A24,'County Funding Level '!$A$2:$B$102,2,FALSE)</f>
        <v>7670470</v>
      </c>
      <c r="D24" s="43">
        <f>IFERROR(VLOOKUP(A24,'County Contribution Actual'!$B$3:$D$36,3,FALSE),"No")</f>
        <v>1066666.67</v>
      </c>
      <c r="E24" s="15" t="str">
        <f t="shared" si="0"/>
        <v>NA</v>
      </c>
      <c r="G24" s="37">
        <f>IF(C24&gt;=$S$4,$R$4,IF(AND(C24&gt;=$S$5,H24=0.15),$R$5,IF(AND(C24&gt;=$S$6,H24&gt;0.15),$R$6,IF(AND(C24&gt;=$S$7,H24=0.15),$R$7,IF(AND(C24&gt;=$S$8,H24&gt;0.15),$R$8,#REF!)))))</f>
        <v>3</v>
      </c>
      <c r="H24" s="28">
        <v>0.3</v>
      </c>
      <c r="I24" s="17" t="str">
        <f t="shared" si="1"/>
        <v>50% of Remaining, no input required</v>
      </c>
      <c r="J24" s="29"/>
      <c r="K24" s="30">
        <f t="shared" si="2"/>
        <v>0.7</v>
      </c>
      <c r="M24" s="56" t="str">
        <f t="shared" si="3"/>
        <v/>
      </c>
      <c r="N24" s="56">
        <f t="shared" si="4"/>
        <v>1066666.67</v>
      </c>
      <c r="O24" s="56" t="str">
        <f t="shared" si="5"/>
        <v/>
      </c>
      <c r="T24" s="53"/>
    </row>
    <row r="25" spans="1:20" x14ac:dyDescent="0.2">
      <c r="A25" s="13" t="s">
        <v>100</v>
      </c>
      <c r="B25" s="14" t="str">
        <f>IFERROR(VLOOKUP(A25,'County Contribution Actual'!$B$3:$D$36,2,FALSE),"No")</f>
        <v>yes</v>
      </c>
      <c r="C25" s="43">
        <f>VLOOKUP(A25,'County Funding Level '!$A$2:$B$102,2,FALSE)</f>
        <v>35107015</v>
      </c>
      <c r="D25" s="43">
        <f>IFERROR(VLOOKUP(A25,'County Contribution Actual'!$B$3:$D$36,3,FALSE),"No")</f>
        <v>4000000</v>
      </c>
      <c r="E25" s="15" t="str">
        <f t="shared" si="0"/>
        <v>NA</v>
      </c>
      <c r="G25" s="37">
        <f>IF(C25&gt;=$S$4,$R$4,IF(AND(C25&gt;=$S$5,H25=0.15),$R$5,IF(AND(C25&gt;=$S$6,H25&gt;0.15),$R$6,IF(AND(C25&gt;=$S$7,H25=0.15),$R$7,IF(AND(C25&gt;=$S$8,H25&gt;0.15),$R$8,#REF!)))))</f>
        <v>1</v>
      </c>
      <c r="H25" s="28">
        <v>0.3</v>
      </c>
      <c r="I25" s="17" t="str">
        <f t="shared" si="1"/>
        <v>&gt;35%</v>
      </c>
      <c r="J25" s="29"/>
      <c r="K25" s="30">
        <f t="shared" si="2"/>
        <v>0.7</v>
      </c>
      <c r="M25" s="56" t="str">
        <f t="shared" si="3"/>
        <v/>
      </c>
      <c r="N25" s="56">
        <f t="shared" si="4"/>
        <v>4000000</v>
      </c>
      <c r="O25" s="56" t="str">
        <f t="shared" si="5"/>
        <v/>
      </c>
      <c r="T25" s="53"/>
    </row>
    <row r="26" spans="1:20" x14ac:dyDescent="0.2">
      <c r="A26" s="13" t="s">
        <v>101</v>
      </c>
      <c r="B26" s="14" t="str">
        <f>IFERROR(VLOOKUP(A26,'County Contribution Actual'!$B$3:$D$36,2,FALSE),"No")</f>
        <v>yes</v>
      </c>
      <c r="C26" s="43">
        <f>VLOOKUP(A26,'County Funding Level '!$A$2:$B$102,2,FALSE)</f>
        <v>4025394</v>
      </c>
      <c r="D26" s="43">
        <f>IFERROR(VLOOKUP(A26,'County Contribution Actual'!$B$3:$D$36,3,FALSE),"No")</f>
        <v>1000000</v>
      </c>
      <c r="E26" s="15" t="str">
        <f t="shared" si="0"/>
        <v>NA</v>
      </c>
      <c r="G26" s="37">
        <f>IF(C26&gt;=$S$4,$R$4,IF(AND(C26&gt;=$S$5,H26=0.15),$R$5,IF(AND(C26&gt;=$S$6,H26&gt;0.15),$R$6,IF(AND(C26&gt;=$S$7,H26=0.15),$R$7,IF(AND(C26&gt;=$S$8,H26&gt;0.15),$R$8,#REF!)))))</f>
        <v>3</v>
      </c>
      <c r="H26" s="28">
        <v>0.3</v>
      </c>
      <c r="I26" s="17" t="str">
        <f t="shared" si="1"/>
        <v>50% of Remaining, no input required</v>
      </c>
      <c r="J26" s="29"/>
      <c r="K26" s="30">
        <f t="shared" si="2"/>
        <v>0.7</v>
      </c>
      <c r="M26" s="56" t="str">
        <f t="shared" si="3"/>
        <v/>
      </c>
      <c r="N26" s="56">
        <f t="shared" si="4"/>
        <v>1000000</v>
      </c>
      <c r="O26" s="56" t="str">
        <f t="shared" si="5"/>
        <v/>
      </c>
      <c r="T26" s="53"/>
    </row>
    <row r="27" spans="1:20" x14ac:dyDescent="0.2">
      <c r="A27" s="13" t="s">
        <v>102</v>
      </c>
      <c r="B27" s="14" t="str">
        <f>IFERROR(VLOOKUP(A27,'County Contribution Actual'!$B$3:$D$36,2,FALSE),"No")</f>
        <v>yes</v>
      </c>
      <c r="C27" s="43">
        <f>VLOOKUP(A27,'County Funding Level '!$A$2:$B$102,2,FALSE)</f>
        <v>12199329</v>
      </c>
      <c r="D27" s="43">
        <f>IFERROR(VLOOKUP(A27,'County Contribution Actual'!$B$3:$D$36,3,FALSE),"No")</f>
        <v>1500000</v>
      </c>
      <c r="E27" s="15" t="str">
        <f t="shared" si="0"/>
        <v>NA</v>
      </c>
      <c r="G27" s="37">
        <f>IF(C27&gt;=$S$4,$R$4,IF(AND(C27&gt;=$S$5,H27=0.15),$R$5,IF(AND(C27&gt;=$S$6,H27&gt;0.15),$R$6,IF(AND(C27&gt;=$S$7,H27=0.15),$R$7,IF(AND(C27&gt;=$S$8,H27&gt;0.15),$R$8,#REF!)))))</f>
        <v>1</v>
      </c>
      <c r="H27" s="28">
        <v>0.3</v>
      </c>
      <c r="I27" s="17" t="str">
        <f t="shared" si="1"/>
        <v>&gt;35%</v>
      </c>
      <c r="J27" s="29"/>
      <c r="K27" s="30">
        <f t="shared" si="2"/>
        <v>0.7</v>
      </c>
      <c r="M27" s="56" t="str">
        <f t="shared" si="3"/>
        <v/>
      </c>
      <c r="N27" s="56">
        <f t="shared" si="4"/>
        <v>1500000</v>
      </c>
      <c r="O27" s="56" t="str">
        <f t="shared" si="5"/>
        <v/>
      </c>
      <c r="T27" s="53"/>
    </row>
    <row r="28" spans="1:20" x14ac:dyDescent="0.2">
      <c r="A28" s="13" t="s">
        <v>103</v>
      </c>
      <c r="B28" s="14" t="str">
        <f>IFERROR(VLOOKUP(A28,'County Contribution Actual'!$B$3:$D$36,2,FALSE),"No")</f>
        <v>No</v>
      </c>
      <c r="C28" s="43">
        <f>VLOOKUP(A28,'County Funding Level '!$A$2:$B$102,2,FALSE)</f>
        <v>2771974</v>
      </c>
      <c r="D28" s="43" t="str">
        <f>IFERROR(VLOOKUP(A28,'County Contribution Actual'!$B$3:$D$36,3,FALSE),"No")</f>
        <v>No</v>
      </c>
      <c r="E28" s="15" t="str">
        <f t="shared" si="0"/>
        <v>NA</v>
      </c>
      <c r="G28" s="37">
        <f>IF(C28&gt;=$S$4,$R$4,IF(AND(C28&gt;=$S$5,H28=0.15),$R$5,IF(AND(C28&gt;=$S$6,H28&gt;0.15),$R$6,IF(AND(C28&gt;=$S$7,H28=0.15),$R$7,IF(AND(C28&gt;=$S$8,H28&gt;0.15),$R$8,#REF!)))))</f>
        <v>5</v>
      </c>
      <c r="H28" s="28">
        <v>0.3</v>
      </c>
      <c r="I28" s="17" t="str">
        <f t="shared" si="1"/>
        <v>50% of Remaining, no input required</v>
      </c>
      <c r="J28" s="29"/>
      <c r="K28" s="30">
        <f t="shared" si="2"/>
        <v>0.7</v>
      </c>
      <c r="M28" s="56" t="str">
        <f t="shared" si="3"/>
        <v/>
      </c>
      <c r="N28" s="56" t="str">
        <f t="shared" si="4"/>
        <v>No</v>
      </c>
      <c r="O28" s="56" t="str">
        <f t="shared" si="5"/>
        <v/>
      </c>
      <c r="T28" s="53"/>
    </row>
    <row r="29" spans="1:20" x14ac:dyDescent="0.2">
      <c r="A29" s="13" t="s">
        <v>104</v>
      </c>
      <c r="B29" s="14" t="str">
        <f>IFERROR(VLOOKUP(A29,'County Contribution Actual'!$B$3:$D$36,2,FALSE),"No")</f>
        <v>No</v>
      </c>
      <c r="C29" s="43">
        <f>VLOOKUP(A29,'County Funding Level '!$A$2:$B$102,2,FALSE)</f>
        <v>46589799</v>
      </c>
      <c r="D29" s="43" t="str">
        <f>IFERROR(VLOOKUP(A29,'County Contribution Actual'!$B$3:$D$36,3,FALSE),"No")</f>
        <v>No</v>
      </c>
      <c r="E29" s="15" t="str">
        <f t="shared" si="0"/>
        <v>NA</v>
      </c>
      <c r="G29" s="37">
        <f>IF(C29&gt;=$S$4,$R$4,IF(AND(C29&gt;=$S$5,H29=0.15),$R$5,IF(AND(C29&gt;=$S$6,H29&gt;0.15),$R$6,IF(AND(C29&gt;=$S$7,H29=0.15),$R$7,IF(AND(C29&gt;=$S$8,H29&gt;0.15),$R$8,#REF!)))))</f>
        <v>1</v>
      </c>
      <c r="H29" s="28">
        <v>0.3</v>
      </c>
      <c r="I29" s="17" t="str">
        <f t="shared" si="1"/>
        <v>&gt;35%</v>
      </c>
      <c r="J29" s="29"/>
      <c r="K29" s="30">
        <f t="shared" si="2"/>
        <v>0.7</v>
      </c>
      <c r="M29" s="56" t="str">
        <f t="shared" si="3"/>
        <v/>
      </c>
      <c r="N29" s="56" t="str">
        <f t="shared" si="4"/>
        <v>No</v>
      </c>
      <c r="O29" s="56" t="str">
        <f t="shared" si="5"/>
        <v/>
      </c>
      <c r="T29" s="53"/>
    </row>
    <row r="30" spans="1:20" x14ac:dyDescent="0.2">
      <c r="A30" s="13" t="s">
        <v>105</v>
      </c>
      <c r="B30" s="14" t="str">
        <f>IFERROR(VLOOKUP(A30,'County Contribution Actual'!$B$3:$D$36,2,FALSE),"No")</f>
        <v>No</v>
      </c>
      <c r="C30" s="43">
        <f>VLOOKUP(A30,'County Funding Level '!$A$2:$B$102,2,FALSE)</f>
        <v>215946541</v>
      </c>
      <c r="D30" s="43" t="str">
        <f>IFERROR(VLOOKUP(A30,'County Contribution Actual'!$B$3:$D$36,3,FALSE),"No")</f>
        <v>No</v>
      </c>
      <c r="E30" s="15" t="str">
        <f t="shared" si="0"/>
        <v>NA</v>
      </c>
      <c r="G30" s="37">
        <f>IF(C30&gt;=$S$4,$R$4,IF(AND(C30&gt;=$S$5,H30=0.15),$R$5,IF(AND(C30&gt;=$S$6,H30&gt;0.15),$R$6,IF(AND(C30&gt;=$S$7,H30=0.15),$R$7,IF(AND(C30&gt;=$S$8,H30&gt;0.15),$R$8,#REF!)))))</f>
        <v>1</v>
      </c>
      <c r="H30" s="28">
        <v>0.3</v>
      </c>
      <c r="I30" s="17" t="str">
        <f t="shared" si="1"/>
        <v>&gt;35%</v>
      </c>
      <c r="J30" s="29"/>
      <c r="K30" s="30">
        <f t="shared" si="2"/>
        <v>0.7</v>
      </c>
      <c r="M30" s="56" t="str">
        <f t="shared" si="3"/>
        <v/>
      </c>
      <c r="N30" s="56" t="str">
        <f t="shared" si="4"/>
        <v>No</v>
      </c>
      <c r="O30" s="56" t="str">
        <f t="shared" si="5"/>
        <v/>
      </c>
      <c r="T30" s="53"/>
    </row>
    <row r="31" spans="1:20" x14ac:dyDescent="0.2">
      <c r="A31" s="13" t="s">
        <v>106</v>
      </c>
      <c r="B31" s="36" t="str">
        <f>IFERROR(VLOOKUP(A31,'County Contribution Actual'!$B$3:$D$36,2,FALSE),"No")</f>
        <v>No</v>
      </c>
      <c r="C31" s="43">
        <f>VLOOKUP(A31,'County Funding Level '!$A$2:$B$102,2,FALSE)</f>
        <v>32925136</v>
      </c>
      <c r="D31" s="15" t="str">
        <f>IFERROR(VLOOKUP(A31,'County Contribution Actual'!$B$3:$D$36,3,FALSE),"No")</f>
        <v>No</v>
      </c>
      <c r="E31" s="15" t="str">
        <f t="shared" si="0"/>
        <v>NA</v>
      </c>
      <c r="G31" s="16">
        <f>IF(C31&gt;=$S$4,$R$4,IF(AND(C31&gt;=$S$5,H31=0.15),$R$5,IF(AND(C31&gt;=$S$6,H31&gt;0.15),$R$6,IF(AND(C31&gt;=$S$7,H31=0.15),$R$7,IF(AND(C31&gt;=$S$8,H31&gt;0.15),$R$8,"No commitment yet")))))</f>
        <v>1</v>
      </c>
      <c r="H31" s="28">
        <v>0.16</v>
      </c>
      <c r="I31" s="17" t="str">
        <f t="shared" si="1"/>
        <v>&gt;35%</v>
      </c>
      <c r="J31" s="29">
        <v>0.05</v>
      </c>
      <c r="K31" s="30">
        <f t="shared" si="2"/>
        <v>0.78999999999999992</v>
      </c>
      <c r="M31" s="56" t="str">
        <f t="shared" si="3"/>
        <v/>
      </c>
      <c r="N31" s="56" t="str">
        <f t="shared" si="4"/>
        <v>No</v>
      </c>
      <c r="O31" s="56" t="str">
        <f t="shared" si="5"/>
        <v/>
      </c>
      <c r="T31" s="53"/>
    </row>
    <row r="32" spans="1:20" x14ac:dyDescent="0.2">
      <c r="A32" s="13" t="s">
        <v>107</v>
      </c>
      <c r="B32" s="14" t="str">
        <f>IFERROR(VLOOKUP(A32,'County Contribution Actual'!$B$3:$D$36,2,FALSE),"No")</f>
        <v>No</v>
      </c>
      <c r="C32" s="43">
        <f>VLOOKUP(A32,'County Funding Level '!$A$2:$B$102,2,FALSE)</f>
        <v>7283353</v>
      </c>
      <c r="D32" s="15" t="str">
        <f>IFERROR(VLOOKUP(A32,'County Contribution Actual'!$B$3:$D$36,3,FALSE),"No")</f>
        <v>No</v>
      </c>
      <c r="E32" s="15" t="str">
        <f t="shared" si="0"/>
        <v>NA</v>
      </c>
      <c r="G32" s="37">
        <f>IF(C32&gt;=$S$4,$R$4,IF(AND(C32&gt;=$S$5,H32=0.15),$R$5,IF(AND(C32&gt;=$S$6,H32&gt;0.15),$R$6,IF(AND(C32&gt;=$S$7,H32=0.15),$R$7,IF(AND(C32&gt;=$S$8,H32&gt;0.15),$R$8,#REF!)))))</f>
        <v>3</v>
      </c>
      <c r="H32" s="28">
        <v>0.28999999999999998</v>
      </c>
      <c r="I32" s="17" t="str">
        <f t="shared" si="1"/>
        <v>50% of Remaining, no input required</v>
      </c>
      <c r="J32" s="29"/>
      <c r="K32" s="30">
        <f t="shared" si="2"/>
        <v>0.71</v>
      </c>
      <c r="M32" s="56" t="str">
        <f t="shared" si="3"/>
        <v/>
      </c>
      <c r="N32" s="56" t="str">
        <f t="shared" si="4"/>
        <v>No</v>
      </c>
      <c r="O32" s="56" t="str">
        <f t="shared" si="5"/>
        <v/>
      </c>
      <c r="T32" s="53"/>
    </row>
    <row r="33" spans="1:20" x14ac:dyDescent="0.2">
      <c r="A33" s="13" t="s">
        <v>108</v>
      </c>
      <c r="B33" s="14" t="str">
        <f>IFERROR(VLOOKUP(A33,'County Contribution Actual'!$B$3:$D$36,2,FALSE),"No")</f>
        <v>No</v>
      </c>
      <c r="C33" s="43">
        <f>VLOOKUP(A33,'County Funding Level '!$A$2:$B$102,2,FALSE)</f>
        <v>2163232</v>
      </c>
      <c r="D33" s="15" t="str">
        <f>IFERROR(VLOOKUP(A33,'County Contribution Actual'!$B$3:$D$36,3,FALSE),"No")</f>
        <v>No</v>
      </c>
      <c r="E33" s="15" t="str">
        <f t="shared" si="0"/>
        <v>NA</v>
      </c>
      <c r="G33" s="37">
        <f>IF(C33&gt;=$S$4,$R$4,IF(AND(C33&gt;=$S$5,H33=0.15),$R$5,IF(AND(C33&gt;=$S$6,H33&gt;0.15),$R$6,IF(AND(C33&gt;=$S$7,H33=0.15),$R$7,IF(AND(C33&gt;=$S$8,H33&gt;0.15),$R$8,#REF!)))))</f>
        <v>5</v>
      </c>
      <c r="H33" s="28">
        <v>0.16</v>
      </c>
      <c r="I33" s="17" t="str">
        <f t="shared" si="1"/>
        <v>50% of Remaining, no input required</v>
      </c>
      <c r="J33" s="29"/>
      <c r="K33" s="30">
        <f t="shared" si="2"/>
        <v>0.84</v>
      </c>
      <c r="M33" s="56" t="str">
        <f t="shared" si="3"/>
        <v/>
      </c>
      <c r="N33" s="56" t="str">
        <f t="shared" si="4"/>
        <v>No</v>
      </c>
      <c r="O33" s="56" t="str">
        <f t="shared" si="5"/>
        <v/>
      </c>
      <c r="T33" s="53"/>
    </row>
    <row r="34" spans="1:20" x14ac:dyDescent="0.2">
      <c r="A34" s="13" t="s">
        <v>109</v>
      </c>
      <c r="B34" s="14" t="str">
        <f>IFERROR(VLOOKUP(A34,'County Contribution Actual'!$B$3:$D$36,2,FALSE),"No")</f>
        <v>No</v>
      </c>
      <c r="C34" s="43">
        <f>VLOOKUP(A34,'County Funding Level '!$A$2:$B$102,2,FALSE)</f>
        <v>4748349</v>
      </c>
      <c r="D34" s="15" t="str">
        <f>IFERROR(VLOOKUP(A34,'County Contribution Actual'!$B$3:$D$36,3,FALSE),"No")</f>
        <v>No</v>
      </c>
      <c r="E34" s="15" t="str">
        <f t="shared" si="0"/>
        <v>NA</v>
      </c>
      <c r="G34" s="37">
        <f>IF(C34&gt;=$S$4,$R$4,IF(AND(C34&gt;=$S$5,H34=0.15),$R$5,IF(AND(C34&gt;=$S$6,H34&gt;0.15),$R$6,IF(AND(C34&gt;=$S$7,H34=0.15),$R$7,IF(AND(C34&gt;=$S$8,H34&gt;0.15),$R$8,#REF!)))))</f>
        <v>2</v>
      </c>
      <c r="H34" s="28">
        <v>0.15</v>
      </c>
      <c r="I34" s="17" t="str">
        <f t="shared" si="1"/>
        <v>&gt;10%</v>
      </c>
      <c r="J34" s="29"/>
      <c r="K34" s="30">
        <f t="shared" si="2"/>
        <v>0.85</v>
      </c>
      <c r="M34" s="56" t="str">
        <f t="shared" si="3"/>
        <v/>
      </c>
      <c r="N34" s="56" t="str">
        <f t="shared" si="4"/>
        <v>No</v>
      </c>
      <c r="O34" s="56" t="str">
        <f t="shared" si="5"/>
        <v/>
      </c>
    </row>
    <row r="35" spans="1:20" x14ac:dyDescent="0.2">
      <c r="A35" s="13" t="s">
        <v>110</v>
      </c>
      <c r="B35" s="14" t="str">
        <f>IFERROR(VLOOKUP(A35,'County Contribution Actual'!$B$3:$D$36,2,FALSE),"No")</f>
        <v>No</v>
      </c>
      <c r="C35" s="43">
        <f>VLOOKUP(A35,'County Funding Level '!$A$2:$B$102,2,FALSE)</f>
        <v>5283864</v>
      </c>
      <c r="D35" s="15" t="str">
        <f>IFERROR(VLOOKUP(A35,'County Contribution Actual'!$B$3:$D$36,3,FALSE),"No")</f>
        <v>No</v>
      </c>
      <c r="E35" s="15" t="str">
        <f t="shared" ref="E35:E66" si="6">IFERROR(D35/J35,"NA")</f>
        <v>NA</v>
      </c>
      <c r="G35" s="37">
        <f>IF(C35&gt;=$S$4,$R$4,IF(AND(C35&gt;=$S$5,H35=0.15),$R$5,IF(AND(C35&gt;=$S$6,H35&gt;0.15),$R$6,IF(AND(C35&gt;=$S$7,H35=0.15),$R$7,IF(AND(C35&gt;=$S$8,H35&gt;0.15),$R$8,#REF!)))))</f>
        <v>3</v>
      </c>
      <c r="H35" s="28">
        <v>0.27</v>
      </c>
      <c r="I35" s="17" t="str">
        <f t="shared" ref="I35:I66" si="7">IF(OR(G35=3,G35=5),$V$6,IF(G35=2,$V$5,IF(G35=1,$V$4,$V$7)))</f>
        <v>50% of Remaining, no input required</v>
      </c>
      <c r="J35" s="29"/>
      <c r="K35" s="30">
        <f t="shared" ref="K35:K66" si="8">1-H35-J35</f>
        <v>0.73</v>
      </c>
      <c r="M35" s="56" t="str">
        <f t="shared" ref="M35:M66" si="9">IFERROR(E35*H35,"")</f>
        <v/>
      </c>
      <c r="N35" s="56" t="str">
        <f t="shared" ref="N35:N66" si="10">D35</f>
        <v>No</v>
      </c>
      <c r="O35" s="56" t="str">
        <f t="shared" ref="O35:O66" si="11">IFERROR(E35-M35-N35,"")</f>
        <v/>
      </c>
    </row>
    <row r="36" spans="1:20" x14ac:dyDescent="0.2">
      <c r="A36" s="13" t="s">
        <v>111</v>
      </c>
      <c r="B36" s="14" t="str">
        <f>IFERROR(VLOOKUP(A36,'County Contribution Actual'!$B$3:$D$36,2,FALSE),"No")</f>
        <v>No</v>
      </c>
      <c r="C36" s="43">
        <f>VLOOKUP(A36,'County Funding Level '!$A$2:$B$102,2,FALSE)</f>
        <v>3680233</v>
      </c>
      <c r="D36" s="15" t="str">
        <f>IFERROR(VLOOKUP(A36,'County Contribution Actual'!$B$3:$D$36,3,FALSE),"No")</f>
        <v>No</v>
      </c>
      <c r="E36" s="15" t="str">
        <f t="shared" si="6"/>
        <v>NA</v>
      </c>
      <c r="G36" s="37">
        <f>IF(C36&gt;=$S$4,$R$4,IF(AND(C36&gt;=$S$5,H36=0.15),$R$5,IF(AND(C36&gt;=$S$6,H36&gt;0.15),$R$6,IF(AND(C36&gt;=$S$7,H36=0.15),$R$7,IF(AND(C36&gt;=$S$8,H36&gt;0.15),$R$8,#REF!)))))</f>
        <v>5</v>
      </c>
      <c r="H36" s="28">
        <v>0.28999999999999998</v>
      </c>
      <c r="I36" s="17" t="str">
        <f t="shared" si="7"/>
        <v>50% of Remaining, no input required</v>
      </c>
      <c r="J36" s="29"/>
      <c r="K36" s="30">
        <f t="shared" si="8"/>
        <v>0.71</v>
      </c>
      <c r="M36" s="56" t="str">
        <f t="shared" si="9"/>
        <v/>
      </c>
      <c r="N36" s="56" t="str">
        <f t="shared" si="10"/>
        <v>No</v>
      </c>
      <c r="O36" s="56" t="str">
        <f t="shared" si="11"/>
        <v/>
      </c>
    </row>
    <row r="37" spans="1:20" x14ac:dyDescent="0.2">
      <c r="A37" s="13" t="s">
        <v>112</v>
      </c>
      <c r="B37" s="14" t="str">
        <f>IFERROR(VLOOKUP(A37,'County Contribution Actual'!$B$3:$D$36,2,FALSE),"No")</f>
        <v>No</v>
      </c>
      <c r="C37" s="43">
        <f>VLOOKUP(A37,'County Funding Level '!$A$2:$B$102,2,FALSE)</f>
        <v>6355865</v>
      </c>
      <c r="D37" s="15" t="str">
        <f>IFERROR(VLOOKUP(A37,'County Contribution Actual'!$B$3:$D$36,3,FALSE),"No")</f>
        <v>No</v>
      </c>
      <c r="E37" s="15" t="str">
        <f t="shared" si="6"/>
        <v>NA</v>
      </c>
      <c r="G37" s="37">
        <f>IF(C37&gt;=$S$4,$R$4,IF(AND(C37&gt;=$S$5,H37=0.15),$R$5,IF(AND(C37&gt;=$S$6,H37&gt;0.15),$R$6,IF(AND(C37&gt;=$S$7,H37=0.15),$R$7,IF(AND(C37&gt;=$S$8,H37&gt;0.15),$R$8,#REF!)))))</f>
        <v>3</v>
      </c>
      <c r="H37" s="28">
        <v>0.16</v>
      </c>
      <c r="I37" s="17" t="str">
        <f t="shared" si="7"/>
        <v>50% of Remaining, no input required</v>
      </c>
      <c r="J37" s="29"/>
      <c r="K37" s="30">
        <f t="shared" si="8"/>
        <v>0.84</v>
      </c>
      <c r="M37" s="56" t="str">
        <f t="shared" si="9"/>
        <v/>
      </c>
      <c r="N37" s="56" t="str">
        <f t="shared" si="10"/>
        <v>No</v>
      </c>
      <c r="O37" s="56" t="str">
        <f t="shared" si="11"/>
        <v/>
      </c>
    </row>
    <row r="38" spans="1:20" x14ac:dyDescent="0.2">
      <c r="A38" s="13" t="s">
        <v>113</v>
      </c>
      <c r="B38" s="14" t="str">
        <f>IFERROR(VLOOKUP(A38,'County Contribution Actual'!$B$3:$D$36,2,FALSE),"No")</f>
        <v>No</v>
      </c>
      <c r="C38" s="43">
        <f>VLOOKUP(A38,'County Funding Level '!$A$2:$B$102,2,FALSE)</f>
        <v>27741111</v>
      </c>
      <c r="D38" s="15" t="str">
        <f>IFERROR(VLOOKUP(A38,'County Contribution Actual'!$B$3:$D$36,3,FALSE),"No")</f>
        <v>No</v>
      </c>
      <c r="E38" s="15" t="str">
        <f t="shared" si="6"/>
        <v>NA</v>
      </c>
      <c r="G38" s="37">
        <f>IF(C38&gt;=$S$4,$R$4,IF(AND(C38&gt;=$S$5,H38=0.15),$R$5,IF(AND(C38&gt;=$S$6,H38&gt;0.15),$R$6,IF(AND(C38&gt;=$S$7,H38=0.15),$R$7,IF(AND(C38&gt;=$S$8,H38&gt;0.15),$R$8,#REF!)))))</f>
        <v>1</v>
      </c>
      <c r="H38" s="28">
        <v>0.27</v>
      </c>
      <c r="I38" s="17" t="str">
        <f t="shared" si="7"/>
        <v>&gt;35%</v>
      </c>
      <c r="J38" s="29"/>
      <c r="K38" s="30">
        <f t="shared" si="8"/>
        <v>0.73</v>
      </c>
      <c r="M38" s="56" t="str">
        <f t="shared" si="9"/>
        <v/>
      </c>
      <c r="N38" s="56" t="str">
        <f t="shared" si="10"/>
        <v>No</v>
      </c>
      <c r="O38" s="56" t="str">
        <f t="shared" si="11"/>
        <v/>
      </c>
    </row>
    <row r="39" spans="1:20" x14ac:dyDescent="0.2">
      <c r="A39" s="13" t="s">
        <v>114</v>
      </c>
      <c r="B39" s="14" t="str">
        <f>IFERROR(VLOOKUP(A39,'County Contribution Actual'!$B$3:$D$36,2,FALSE),"No")</f>
        <v>No</v>
      </c>
      <c r="C39" s="43">
        <f>VLOOKUP(A39,'County Funding Level '!$A$2:$B$102,2,FALSE)</f>
        <v>2110787</v>
      </c>
      <c r="D39" s="15" t="str">
        <f>IFERROR(VLOOKUP(A39,'County Contribution Actual'!$B$3:$D$36,3,FALSE),"No")</f>
        <v>No</v>
      </c>
      <c r="E39" s="15" t="str">
        <f t="shared" si="6"/>
        <v>NA</v>
      </c>
      <c r="G39" s="37">
        <f>IF(C39&gt;=$S$4,$R$4,IF(AND(C39&gt;=$S$5,H39=0.15),$R$5,IF(AND(C39&gt;=$S$6,H39&gt;0.15),$R$6,IF(AND(C39&gt;=$S$7,H39=0.15),$R$7,IF(AND(C39&gt;=$S$8,H39&gt;0.15),$R$8,#REF!)))))</f>
        <v>5</v>
      </c>
      <c r="H39" s="28">
        <v>0.16</v>
      </c>
      <c r="I39" s="17" t="str">
        <f t="shared" si="7"/>
        <v>50% of Remaining, no input required</v>
      </c>
      <c r="J39" s="29"/>
      <c r="K39" s="30">
        <f t="shared" si="8"/>
        <v>0.84</v>
      </c>
      <c r="M39" s="56" t="str">
        <f t="shared" si="9"/>
        <v/>
      </c>
      <c r="N39" s="56" t="str">
        <f t="shared" si="10"/>
        <v>No</v>
      </c>
      <c r="O39" s="56" t="str">
        <f t="shared" si="11"/>
        <v/>
      </c>
    </row>
    <row r="40" spans="1:20" x14ac:dyDescent="0.2">
      <c r="A40" s="13" t="s">
        <v>115</v>
      </c>
      <c r="B40" s="14" t="str">
        <f>IFERROR(VLOOKUP(A40,'County Contribution Actual'!$B$3:$D$36,2,FALSE),"No")</f>
        <v>No</v>
      </c>
      <c r="C40" s="43">
        <f>VLOOKUP(A40,'County Funding Level '!$A$2:$B$102,2,FALSE)</f>
        <v>13494316</v>
      </c>
      <c r="D40" s="15" t="str">
        <f>IFERROR(VLOOKUP(A40,'County Contribution Actual'!$B$3:$D$36,3,FALSE),"No")</f>
        <v>No</v>
      </c>
      <c r="E40" s="15" t="str">
        <f t="shared" si="6"/>
        <v>NA</v>
      </c>
      <c r="G40" s="37">
        <f>IF(C40&gt;=$S$4,$R$4,IF(AND(C40&gt;=$S$5,H40=0.15),$R$5,IF(AND(C40&gt;=$S$6,H40&gt;0.15),$R$6,IF(AND(C40&gt;=$S$7,H40=0.15),$R$7,IF(AND(C40&gt;=$S$8,H40&gt;0.15),$R$8,#REF!)))))</f>
        <v>1</v>
      </c>
      <c r="H40" s="28">
        <v>0.15</v>
      </c>
      <c r="I40" s="17" t="str">
        <f t="shared" si="7"/>
        <v>&gt;35%</v>
      </c>
      <c r="J40" s="29"/>
      <c r="K40" s="30">
        <f t="shared" si="8"/>
        <v>0.85</v>
      </c>
      <c r="M40" s="56" t="str">
        <f t="shared" si="9"/>
        <v/>
      </c>
      <c r="N40" s="56" t="str">
        <f t="shared" si="10"/>
        <v>No</v>
      </c>
      <c r="O40" s="56" t="str">
        <f t="shared" si="11"/>
        <v/>
      </c>
    </row>
    <row r="41" spans="1:20" x14ac:dyDescent="0.2">
      <c r="A41" s="13" t="s">
        <v>116</v>
      </c>
      <c r="B41" s="14" t="str">
        <f>IFERROR(VLOOKUP(A41,'County Contribution Actual'!$B$3:$D$36,2,FALSE),"No")</f>
        <v>No</v>
      </c>
      <c r="C41" s="43">
        <f>VLOOKUP(A41,'County Funding Level '!$A$2:$B$102,2,FALSE)</f>
        <v>30990911</v>
      </c>
      <c r="D41" s="15" t="str">
        <f>IFERROR(VLOOKUP(A41,'County Contribution Actual'!$B$3:$D$36,3,FALSE),"No")</f>
        <v>No</v>
      </c>
      <c r="E41" s="15" t="str">
        <f t="shared" si="6"/>
        <v>NA</v>
      </c>
      <c r="G41" s="37">
        <f>IF(C41&gt;=$S$4,$R$4,IF(AND(C41&gt;=$S$5,H41=0.15),$R$5,IF(AND(C41&gt;=$S$6,H41&gt;0.15),$R$6,IF(AND(C41&gt;=$S$7,H41=0.15),$R$7,IF(AND(C41&gt;=$S$8,H41&gt;0.15),$R$8,#REF!)))))</f>
        <v>1</v>
      </c>
      <c r="H41" s="28">
        <v>0.16</v>
      </c>
      <c r="I41" s="17" t="str">
        <f t="shared" si="7"/>
        <v>&gt;35%</v>
      </c>
      <c r="J41" s="29"/>
      <c r="K41" s="30">
        <f t="shared" si="8"/>
        <v>0.84</v>
      </c>
      <c r="M41" s="56" t="str">
        <f t="shared" si="9"/>
        <v/>
      </c>
      <c r="N41" s="56" t="str">
        <f t="shared" si="10"/>
        <v>No</v>
      </c>
      <c r="O41" s="56" t="str">
        <f t="shared" si="11"/>
        <v/>
      </c>
    </row>
    <row r="42" spans="1:20" x14ac:dyDescent="0.2">
      <c r="A42" s="13" t="s">
        <v>117</v>
      </c>
      <c r="B42" s="14" t="str">
        <f>IFERROR(VLOOKUP(A42,'County Contribution Actual'!$B$3:$D$36,2,FALSE),"No")</f>
        <v>yes</v>
      </c>
      <c r="C42" s="43">
        <f>VLOOKUP(A42,'County Funding Level '!$A$2:$B$102,2,FALSE)</f>
        <v>14464924</v>
      </c>
      <c r="D42" s="15">
        <f>IFERROR(VLOOKUP(A42,'County Contribution Actual'!$B$3:$D$36,3,FALSE),"No")</f>
        <v>2500000</v>
      </c>
      <c r="E42" s="15" t="str">
        <f t="shared" si="6"/>
        <v>NA</v>
      </c>
      <c r="G42" s="37">
        <f>IF(C42&gt;=$S$4,$R$4,IF(AND(C42&gt;=$S$5,H42=0.15),$R$5,IF(AND(C42&gt;=$S$6,H42&gt;0.15),$R$6,IF(AND(C42&gt;=$S$7,H42=0.15),$R$7,IF(AND(C42&gt;=$S$8,H42&gt;0.15),$R$8,#REF!)))))</f>
        <v>1</v>
      </c>
      <c r="H42" s="28">
        <v>0.23</v>
      </c>
      <c r="I42" s="17" t="str">
        <f t="shared" si="7"/>
        <v>&gt;35%</v>
      </c>
      <c r="J42" s="29"/>
      <c r="K42" s="30">
        <f t="shared" si="8"/>
        <v>0.77</v>
      </c>
      <c r="M42" s="56" t="str">
        <f t="shared" si="9"/>
        <v/>
      </c>
      <c r="N42" s="56">
        <f t="shared" si="10"/>
        <v>2500000</v>
      </c>
      <c r="O42" s="56" t="str">
        <f t="shared" si="11"/>
        <v/>
      </c>
    </row>
    <row r="43" spans="1:20" x14ac:dyDescent="0.2">
      <c r="A43" s="13" t="s">
        <v>118</v>
      </c>
      <c r="B43" s="14" t="str">
        <f>IFERROR(VLOOKUP(A43,'County Contribution Actual'!$B$3:$D$36,2,FALSE),"No")</f>
        <v>No</v>
      </c>
      <c r="C43" s="43">
        <f>VLOOKUP(A43,'County Funding Level '!$A$2:$B$102,2,FALSE)</f>
        <v>5557546</v>
      </c>
      <c r="D43" s="15" t="str">
        <f>IFERROR(VLOOKUP(A43,'County Contribution Actual'!$B$3:$D$36,3,FALSE),"No")</f>
        <v>No</v>
      </c>
      <c r="E43" s="15" t="str">
        <f t="shared" si="6"/>
        <v>NA</v>
      </c>
      <c r="G43" s="37">
        <f>IF(C43&gt;=$S$4,$R$4,IF(AND(C43&gt;=$S$5,H43=0.15),$R$5,IF(AND(C43&gt;=$S$6,H43&gt;0.15),$R$6,IF(AND(C43&gt;=$S$7,H43=0.15),$R$7,IF(AND(C43&gt;=$S$8,H43&gt;0.15),$R$8,#REF!)))))</f>
        <v>2</v>
      </c>
      <c r="H43" s="28">
        <v>0.15</v>
      </c>
      <c r="I43" s="17" t="str">
        <f t="shared" si="7"/>
        <v>&gt;10%</v>
      </c>
      <c r="J43" s="29"/>
      <c r="K43" s="30">
        <f t="shared" si="8"/>
        <v>0.85</v>
      </c>
      <c r="M43" s="56" t="str">
        <f t="shared" si="9"/>
        <v/>
      </c>
      <c r="N43" s="56" t="str">
        <f t="shared" si="10"/>
        <v>No</v>
      </c>
      <c r="O43" s="56" t="str">
        <f t="shared" si="11"/>
        <v/>
      </c>
    </row>
    <row r="44" spans="1:20" x14ac:dyDescent="0.2">
      <c r="A44" s="13" t="s">
        <v>119</v>
      </c>
      <c r="B44" s="14" t="str">
        <f>IFERROR(VLOOKUP(A44,'County Contribution Actual'!$B$3:$D$36,2,FALSE),"No")</f>
        <v>No</v>
      </c>
      <c r="C44" s="43">
        <f>VLOOKUP(A44,'County Funding Level '!$A$2:$B$102,2,FALSE)</f>
        <v>2181490</v>
      </c>
      <c r="D44" s="15" t="str">
        <f>IFERROR(VLOOKUP(A44,'County Contribution Actual'!$B$3:$D$36,3,FALSE),"No")</f>
        <v>No</v>
      </c>
      <c r="E44" s="15" t="str">
        <f t="shared" si="6"/>
        <v>NA</v>
      </c>
      <c r="G44" s="37">
        <f>IF(C44&gt;=$S$4,$R$4,IF(AND(C44&gt;=$S$5,H44=0.15),$R$5,IF(AND(C44&gt;=$S$6,H44&gt;0.15),$R$6,IF(AND(C44&gt;=$S$7,H44=0.15),$R$7,IF(AND(C44&gt;=$S$8,H44&gt;0.15),$R$8,#REF!)))))</f>
        <v>5</v>
      </c>
      <c r="H44" s="28">
        <v>0.16</v>
      </c>
      <c r="I44" s="17" t="str">
        <f t="shared" si="7"/>
        <v>50% of Remaining, no input required</v>
      </c>
      <c r="J44" s="29"/>
      <c r="K44" s="30">
        <f t="shared" si="8"/>
        <v>0.84</v>
      </c>
      <c r="M44" s="56" t="str">
        <f t="shared" si="9"/>
        <v/>
      </c>
      <c r="N44" s="56" t="str">
        <f t="shared" si="10"/>
        <v>No</v>
      </c>
      <c r="O44" s="56" t="str">
        <f t="shared" si="11"/>
        <v/>
      </c>
    </row>
    <row r="45" spans="1:20" x14ac:dyDescent="0.2">
      <c r="A45" s="13" t="s">
        <v>120</v>
      </c>
      <c r="B45" s="14" t="str">
        <f>IFERROR(VLOOKUP(A45,'County Contribution Actual'!$B$3:$D$36,2,FALSE),"No")</f>
        <v>No</v>
      </c>
      <c r="C45" s="43">
        <f>VLOOKUP(A45,'County Funding Level '!$A$2:$B$102,2,FALSE)</f>
        <v>10781778</v>
      </c>
      <c r="D45" s="15" t="str">
        <f>IFERROR(VLOOKUP(A45,'County Contribution Actual'!$B$3:$D$36,3,FALSE),"No")</f>
        <v>No</v>
      </c>
      <c r="E45" s="15" t="str">
        <f t="shared" si="6"/>
        <v>NA</v>
      </c>
      <c r="G45" s="37">
        <f>IF(C45&gt;=$S$4,$R$4,IF(AND(C45&gt;=$S$5,H45=0.15),$R$5,IF(AND(C45&gt;=$S$6,H45&gt;0.15),$R$6,IF(AND(C45&gt;=$S$7,H45=0.15),$R$7,IF(AND(C45&gt;=$S$8,H45&gt;0.15),$R$8,#REF!)))))</f>
        <v>1</v>
      </c>
      <c r="H45" s="28">
        <v>0.17</v>
      </c>
      <c r="I45" s="17" t="str">
        <f t="shared" si="7"/>
        <v>&gt;35%</v>
      </c>
      <c r="J45" s="29"/>
      <c r="K45" s="30">
        <f t="shared" si="8"/>
        <v>0.83</v>
      </c>
      <c r="M45" s="56" t="str">
        <f t="shared" si="9"/>
        <v/>
      </c>
      <c r="N45" s="56" t="str">
        <f t="shared" si="10"/>
        <v>No</v>
      </c>
      <c r="O45" s="56" t="str">
        <f t="shared" si="11"/>
        <v/>
      </c>
    </row>
    <row r="46" spans="1:20" x14ac:dyDescent="0.2">
      <c r="A46" s="13" t="s">
        <v>121</v>
      </c>
      <c r="B46" s="14" t="str">
        <f>IFERROR(VLOOKUP(A46,'County Contribution Actual'!$B$3:$D$36,2,FALSE),"No")</f>
        <v>No</v>
      </c>
      <c r="C46" s="43">
        <f>VLOOKUP(A46,'County Funding Level '!$A$2:$B$102,2,FALSE)</f>
        <v>19839303</v>
      </c>
      <c r="D46" s="15" t="str">
        <f>IFERROR(VLOOKUP(A46,'County Contribution Actual'!$B$3:$D$36,3,FALSE),"No")</f>
        <v>No</v>
      </c>
      <c r="E46" s="15" t="str">
        <f t="shared" si="6"/>
        <v>NA</v>
      </c>
      <c r="G46" s="37">
        <f>IF(C46&gt;=$S$4,$R$4,IF(AND(C46&gt;=$S$5,H46=0.15),$R$5,IF(AND(C46&gt;=$S$6,H46&gt;0.15),$R$6,IF(AND(C46&gt;=$S$7,H46=0.15),$R$7,IF(AND(C46&gt;=$S$8,H46&gt;0.15),$R$8,#REF!)))))</f>
        <v>1</v>
      </c>
      <c r="H46" s="28">
        <v>0.28999999999999998</v>
      </c>
      <c r="I46" s="17" t="str">
        <f t="shared" si="7"/>
        <v>&gt;35%</v>
      </c>
      <c r="J46" s="29"/>
      <c r="K46" s="30">
        <f t="shared" si="8"/>
        <v>0.71</v>
      </c>
      <c r="M46" s="56" t="str">
        <f t="shared" si="9"/>
        <v/>
      </c>
      <c r="N46" s="56" t="str">
        <f t="shared" si="10"/>
        <v>No</v>
      </c>
      <c r="O46" s="56" t="str">
        <f t="shared" si="11"/>
        <v/>
      </c>
    </row>
    <row r="47" spans="1:20" x14ac:dyDescent="0.2">
      <c r="A47" s="13" t="s">
        <v>122</v>
      </c>
      <c r="B47" s="14" t="str">
        <f>IFERROR(VLOOKUP(A47,'County Contribution Actual'!$B$3:$D$36,2,FALSE),"No")</f>
        <v>yes</v>
      </c>
      <c r="C47" s="43">
        <f>VLOOKUP(A47,'County Funding Level '!$A$2:$B$102,2,FALSE)</f>
        <v>65168690</v>
      </c>
      <c r="D47" s="15">
        <f>IFERROR(VLOOKUP(A47,'County Contribution Actual'!$B$3:$D$36,3,FALSE),"No")</f>
        <v>2800000</v>
      </c>
      <c r="E47" s="15" t="str">
        <f t="shared" si="6"/>
        <v>NA</v>
      </c>
      <c r="G47" s="37">
        <f>IF(C47&gt;=$S$4,$R$4,IF(AND(C47&gt;=$S$5,H47=0.15),$R$5,IF(AND(C47&gt;=$S$6,H47&gt;0.15),$R$6,IF(AND(C47&gt;=$S$7,H47=0.15),$R$7,IF(AND(C47&gt;=$S$8,H47&gt;0.15),$R$8,#REF!)))))</f>
        <v>1</v>
      </c>
      <c r="H47" s="28">
        <v>0.15</v>
      </c>
      <c r="I47" s="17" t="str">
        <f t="shared" si="7"/>
        <v>&gt;35%</v>
      </c>
      <c r="J47" s="29"/>
      <c r="K47" s="30">
        <f t="shared" si="8"/>
        <v>0.85</v>
      </c>
      <c r="M47" s="56" t="str">
        <f t="shared" si="9"/>
        <v/>
      </c>
      <c r="N47" s="56">
        <f t="shared" si="10"/>
        <v>2800000</v>
      </c>
      <c r="O47" s="56" t="str">
        <f t="shared" si="11"/>
        <v/>
      </c>
    </row>
    <row r="48" spans="1:20" x14ac:dyDescent="0.2">
      <c r="A48" s="13" t="s">
        <v>123</v>
      </c>
      <c r="B48" s="14" t="str">
        <f>IFERROR(VLOOKUP(A48,'County Contribution Actual'!$B$3:$D$36,2,FALSE),"No")</f>
        <v>No</v>
      </c>
      <c r="C48" s="43">
        <f>VLOOKUP(A48,'County Funding Level '!$A$2:$B$102,2,FALSE)</f>
        <v>5392637</v>
      </c>
      <c r="D48" s="15" t="str">
        <f>IFERROR(VLOOKUP(A48,'County Contribution Actual'!$B$3:$D$36,3,FALSE),"No")</f>
        <v>No</v>
      </c>
      <c r="E48" s="15" t="str">
        <f t="shared" si="6"/>
        <v>NA</v>
      </c>
      <c r="G48" s="37">
        <f>IF(C48&gt;=$S$4,$R$4,IF(AND(C48&gt;=$S$5,H48=0.15),$R$5,IF(AND(C48&gt;=$S$6,H48&gt;0.15),$R$6,IF(AND(C48&gt;=$S$7,H48=0.15),$R$7,IF(AND(C48&gt;=$S$8,H48&gt;0.15),$R$8,#REF!)))))</f>
        <v>3</v>
      </c>
      <c r="H48" s="28">
        <v>0.28999999999999998</v>
      </c>
      <c r="I48" s="17" t="str">
        <f t="shared" si="7"/>
        <v>50% of Remaining, no input required</v>
      </c>
      <c r="J48" s="29"/>
      <c r="K48" s="30">
        <f t="shared" si="8"/>
        <v>0.71</v>
      </c>
      <c r="M48" s="56" t="str">
        <f t="shared" si="9"/>
        <v/>
      </c>
      <c r="N48" s="56" t="str">
        <f t="shared" si="10"/>
        <v>No</v>
      </c>
      <c r="O48" s="56" t="str">
        <f t="shared" si="11"/>
        <v/>
      </c>
    </row>
    <row r="49" spans="1:15" x14ac:dyDescent="0.2">
      <c r="A49" s="13" t="s">
        <v>124</v>
      </c>
      <c r="B49" s="14" t="str">
        <f>IFERROR(VLOOKUP(A49,'County Contribution Actual'!$B$3:$D$36,2,FALSE),"No")</f>
        <v>No</v>
      </c>
      <c r="C49" s="43">
        <f>VLOOKUP(A49,'County Funding Level '!$A$2:$B$102,2,FALSE)</f>
        <v>7188564</v>
      </c>
      <c r="D49" s="15" t="str">
        <f>IFERROR(VLOOKUP(A49,'County Contribution Actual'!$B$3:$D$36,3,FALSE),"No")</f>
        <v>No</v>
      </c>
      <c r="E49" s="15" t="str">
        <f t="shared" si="6"/>
        <v>NA</v>
      </c>
      <c r="G49" s="37">
        <f>IF(C49&gt;=$S$4,$R$4,IF(AND(C49&gt;=$S$5,H49=0.15),$R$5,IF(AND(C49&gt;=$S$6,H49&gt;0.15),$R$6,IF(AND(C49&gt;=$S$7,H49=0.15),$R$7,IF(AND(C49&gt;=$S$8,H49&gt;0.15),$R$8,#REF!)))))</f>
        <v>3</v>
      </c>
      <c r="H49" s="28">
        <v>0.3</v>
      </c>
      <c r="I49" s="17" t="str">
        <f t="shared" si="7"/>
        <v>50% of Remaining, no input required</v>
      </c>
      <c r="J49" s="29"/>
      <c r="K49" s="30">
        <f t="shared" si="8"/>
        <v>0.7</v>
      </c>
      <c r="M49" s="56" t="str">
        <f t="shared" si="9"/>
        <v/>
      </c>
      <c r="N49" s="56" t="str">
        <f t="shared" si="10"/>
        <v>No</v>
      </c>
      <c r="O49" s="56" t="str">
        <f t="shared" si="11"/>
        <v/>
      </c>
    </row>
    <row r="50" spans="1:15" x14ac:dyDescent="0.2">
      <c r="A50" s="13" t="s">
        <v>125</v>
      </c>
      <c r="B50" s="14" t="str">
        <f>IFERROR(VLOOKUP(A50,'County Contribution Actual'!$B$3:$D$36,2,FALSE),"No")</f>
        <v>No</v>
      </c>
      <c r="C50" s="43">
        <f>VLOOKUP(A50,'County Funding Level '!$A$2:$B$102,2,FALSE)</f>
        <v>32556083</v>
      </c>
      <c r="D50" s="15" t="str">
        <f>IFERROR(VLOOKUP(A50,'County Contribution Actual'!$B$3:$D$36,3,FALSE),"No")</f>
        <v>No</v>
      </c>
      <c r="E50" s="15" t="str">
        <f t="shared" si="6"/>
        <v>NA</v>
      </c>
      <c r="G50" s="37">
        <f>IF(C50&gt;=$S$4,$R$4,IF(AND(C50&gt;=$S$5,H50=0.15),$R$5,IF(AND(C50&gt;=$S$6,H50&gt;0.15),$R$6,IF(AND(C50&gt;=$S$7,H50=0.15),$R$7,IF(AND(C50&gt;=$S$8,H50&gt;0.15),$R$8,#REF!)))))</f>
        <v>1</v>
      </c>
      <c r="H50" s="28">
        <v>0.3</v>
      </c>
      <c r="I50" s="17" t="str">
        <f t="shared" si="7"/>
        <v>&gt;35%</v>
      </c>
      <c r="J50" s="29"/>
      <c r="K50" s="30">
        <f t="shared" si="8"/>
        <v>0.7</v>
      </c>
      <c r="M50" s="56" t="str">
        <f t="shared" si="9"/>
        <v/>
      </c>
      <c r="N50" s="56" t="str">
        <f t="shared" si="10"/>
        <v>No</v>
      </c>
      <c r="O50" s="56" t="str">
        <f t="shared" si="11"/>
        <v/>
      </c>
    </row>
    <row r="51" spans="1:15" x14ac:dyDescent="0.2">
      <c r="A51" s="13" t="s">
        <v>126</v>
      </c>
      <c r="B51" s="14" t="str">
        <f>IFERROR(VLOOKUP(A51,'County Contribution Actual'!$B$3:$D$36,2,FALSE),"No")</f>
        <v>No</v>
      </c>
      <c r="C51" s="43">
        <f>VLOOKUP(A51,'County Funding Level '!$A$2:$B$102,2,FALSE)</f>
        <v>8322333</v>
      </c>
      <c r="D51" s="15" t="str">
        <f>IFERROR(VLOOKUP(A51,'County Contribution Actual'!$B$3:$D$36,3,FALSE),"No")</f>
        <v>No</v>
      </c>
      <c r="E51" s="15" t="str">
        <f t="shared" si="6"/>
        <v>NA</v>
      </c>
      <c r="G51" s="37">
        <f>IF(C51&gt;=$S$4,$R$4,IF(AND(C51&gt;=$S$5,H51=0.15),$R$5,IF(AND(C51&gt;=$S$6,H51&gt;0.15),$R$6,IF(AND(C51&gt;=$S$7,H51=0.15),$R$7,IF(AND(C51&gt;=$S$8,H51&gt;0.15),$R$8,#REF!)))))</f>
        <v>1</v>
      </c>
      <c r="H51" s="28">
        <v>0.3</v>
      </c>
      <c r="I51" s="17" t="str">
        <f t="shared" si="7"/>
        <v>&gt;35%</v>
      </c>
      <c r="J51" s="29"/>
      <c r="K51" s="30">
        <f t="shared" si="8"/>
        <v>0.7</v>
      </c>
      <c r="M51" s="56" t="str">
        <f t="shared" si="9"/>
        <v/>
      </c>
      <c r="N51" s="56" t="str">
        <f t="shared" si="10"/>
        <v>No</v>
      </c>
      <c r="O51" s="56" t="str">
        <f t="shared" si="11"/>
        <v/>
      </c>
    </row>
    <row r="52" spans="1:15" x14ac:dyDescent="0.2">
      <c r="A52" s="13" t="s">
        <v>127</v>
      </c>
      <c r="B52" s="14" t="str">
        <f>IFERROR(VLOOKUP(A52,'County Contribution Actual'!$B$3:$D$36,2,FALSE),"No")</f>
        <v>No</v>
      </c>
      <c r="C52" s="43">
        <f>VLOOKUP(A52,'County Funding Level '!$A$2:$B$102,2,FALSE)</f>
        <v>11409751</v>
      </c>
      <c r="D52" s="15" t="str">
        <f>IFERROR(VLOOKUP(A52,'County Contribution Actual'!$B$3:$D$36,3,FALSE),"No")</f>
        <v>No</v>
      </c>
      <c r="E52" s="15" t="str">
        <f t="shared" si="6"/>
        <v>NA</v>
      </c>
      <c r="G52" s="37">
        <f>IF(C52&gt;=$S$4,$R$4,IF(AND(C52&gt;=$S$5,H52=0.15),$R$5,IF(AND(C52&gt;=$S$6,H52&gt;0.15),$R$6,IF(AND(C52&gt;=$S$7,H52=0.15),$R$7,IF(AND(C52&gt;=$S$8,H52&gt;0.15),$R$8,#REF!)))))</f>
        <v>1</v>
      </c>
      <c r="H52" s="28">
        <v>0.3</v>
      </c>
      <c r="I52" s="17" t="str">
        <f t="shared" si="7"/>
        <v>&gt;35%</v>
      </c>
      <c r="J52" s="29"/>
      <c r="K52" s="30">
        <f t="shared" si="8"/>
        <v>0.7</v>
      </c>
      <c r="M52" s="56" t="str">
        <f t="shared" si="9"/>
        <v/>
      </c>
      <c r="N52" s="56" t="str">
        <f t="shared" si="10"/>
        <v>No</v>
      </c>
      <c r="O52" s="56" t="str">
        <f t="shared" si="11"/>
        <v/>
      </c>
    </row>
    <row r="53" spans="1:15" x14ac:dyDescent="0.2">
      <c r="A53" s="13" t="s">
        <v>128</v>
      </c>
      <c r="B53" s="14" t="str">
        <f>IFERROR(VLOOKUP(A53,'County Contribution Actual'!$B$3:$D$36,2,FALSE),"No")</f>
        <v>No</v>
      </c>
      <c r="C53" s="43">
        <f>VLOOKUP(A53,'County Funding Level '!$A$2:$B$102,2,FALSE)</f>
        <v>62445275</v>
      </c>
      <c r="D53" s="15" t="str">
        <f>IFERROR(VLOOKUP(A53,'County Contribution Actual'!$B$3:$D$36,3,FALSE),"No")</f>
        <v>No</v>
      </c>
      <c r="E53" s="15" t="str">
        <f t="shared" si="6"/>
        <v>NA</v>
      </c>
      <c r="G53" s="37">
        <f>IF(C53&gt;=$S$4,$R$4,IF(AND(C53&gt;=$S$5,H53=0.15),$R$5,IF(AND(C53&gt;=$S$6,H53&gt;0.15),$R$6,IF(AND(C53&gt;=$S$7,H53=0.15),$R$7,IF(AND(C53&gt;=$S$8,H53&gt;0.15),$R$8,#REF!)))))</f>
        <v>1</v>
      </c>
      <c r="H53" s="28">
        <v>0.3</v>
      </c>
      <c r="I53" s="17" t="str">
        <f t="shared" si="7"/>
        <v>&gt;35%</v>
      </c>
      <c r="J53" s="29"/>
      <c r="K53" s="30">
        <f t="shared" si="8"/>
        <v>0.7</v>
      </c>
      <c r="M53" s="56" t="str">
        <f t="shared" si="9"/>
        <v/>
      </c>
      <c r="N53" s="56" t="str">
        <f t="shared" si="10"/>
        <v>No</v>
      </c>
      <c r="O53" s="56" t="str">
        <f t="shared" si="11"/>
        <v/>
      </c>
    </row>
    <row r="54" spans="1:15" x14ac:dyDescent="0.2">
      <c r="A54" s="13" t="s">
        <v>129</v>
      </c>
      <c r="B54" s="14" t="str">
        <f>IFERROR(VLOOKUP(A54,'County Contribution Actual'!$B$3:$D$36,2,FALSE),"No")</f>
        <v>No</v>
      </c>
      <c r="C54" s="43">
        <f>VLOOKUP(A54,'County Funding Level '!$A$2:$B$102,2,FALSE)</f>
        <v>74256322</v>
      </c>
      <c r="D54" s="15" t="str">
        <f>IFERROR(VLOOKUP(A54,'County Contribution Actual'!$B$3:$D$36,3,FALSE),"No")</f>
        <v>No</v>
      </c>
      <c r="E54" s="15" t="str">
        <f t="shared" si="6"/>
        <v>NA</v>
      </c>
      <c r="G54" s="37">
        <f>IF(C54&gt;=$S$4,$R$4,IF(AND(C54&gt;=$S$5,H54=0.15),$R$5,IF(AND(C54&gt;=$S$6,H54&gt;0.15),$R$6,IF(AND(C54&gt;=$S$7,H54=0.15),$R$7,IF(AND(C54&gt;=$S$8,H54&gt;0.15),$R$8,#REF!)))))</f>
        <v>1</v>
      </c>
      <c r="H54" s="28">
        <v>0.3</v>
      </c>
      <c r="I54" s="17" t="str">
        <f t="shared" si="7"/>
        <v>&gt;35%</v>
      </c>
      <c r="J54" s="29"/>
      <c r="K54" s="30">
        <f t="shared" si="8"/>
        <v>0.7</v>
      </c>
      <c r="M54" s="56" t="str">
        <f t="shared" si="9"/>
        <v/>
      </c>
      <c r="N54" s="56" t="str">
        <f t="shared" si="10"/>
        <v>No</v>
      </c>
      <c r="O54" s="56" t="str">
        <f t="shared" si="11"/>
        <v/>
      </c>
    </row>
    <row r="55" spans="1:15" x14ac:dyDescent="0.2">
      <c r="A55" s="13" t="s">
        <v>130</v>
      </c>
      <c r="B55" s="14" t="str">
        <f>IFERROR(VLOOKUP(A55,'County Contribution Actual'!$B$3:$D$36,2,FALSE),"No")</f>
        <v>No</v>
      </c>
      <c r="C55" s="43">
        <f>VLOOKUP(A55,'County Funding Level '!$A$2:$B$102,2,FALSE)</f>
        <v>43612126</v>
      </c>
      <c r="D55" s="15" t="str">
        <f>IFERROR(VLOOKUP(A55,'County Contribution Actual'!$B$3:$D$36,3,FALSE),"No")</f>
        <v>No</v>
      </c>
      <c r="E55" s="15" t="str">
        <f t="shared" si="6"/>
        <v>NA</v>
      </c>
      <c r="G55" s="37">
        <f>IF(C55&gt;=$S$4,$R$4,IF(AND(C55&gt;=$S$5,H55=0.15),$R$5,IF(AND(C55&gt;=$S$6,H55&gt;0.15),$R$6,IF(AND(C55&gt;=$S$7,H55=0.15),$R$7,IF(AND(C55&gt;=$S$8,H55&gt;0.15),$R$8,#REF!)))))</f>
        <v>1</v>
      </c>
      <c r="H55" s="28">
        <v>0.3</v>
      </c>
      <c r="I55" s="17" t="str">
        <f t="shared" si="7"/>
        <v>&gt;35%</v>
      </c>
      <c r="J55" s="29"/>
      <c r="K55" s="30">
        <f t="shared" si="8"/>
        <v>0.7</v>
      </c>
      <c r="M55" s="56" t="str">
        <f t="shared" si="9"/>
        <v/>
      </c>
      <c r="N55" s="56" t="str">
        <f t="shared" si="10"/>
        <v>No</v>
      </c>
      <c r="O55" s="56" t="str">
        <f t="shared" si="11"/>
        <v/>
      </c>
    </row>
    <row r="56" spans="1:15" x14ac:dyDescent="0.2">
      <c r="A56" s="13" t="s">
        <v>131</v>
      </c>
      <c r="B56" s="14" t="str">
        <f>IFERROR(VLOOKUP(A56,'County Contribution Actual'!$B$3:$D$36,2,FALSE),"No")</f>
        <v>No</v>
      </c>
      <c r="C56" s="43">
        <f>VLOOKUP(A56,'County Funding Level '!$A$2:$B$102,2,FALSE)</f>
        <v>1639565</v>
      </c>
      <c r="D56" s="15" t="str">
        <f>IFERROR(VLOOKUP(A56,'County Contribution Actual'!$B$3:$D$36,3,FALSE),"No")</f>
        <v>No</v>
      </c>
      <c r="E56" s="15" t="str">
        <f t="shared" si="6"/>
        <v>NA</v>
      </c>
      <c r="G56" s="37">
        <f>IF(C56&gt;=$S$4,$R$4,IF(AND(C56&gt;=$S$5,H56=0.15),$R$5,IF(AND(C56&gt;=$S$6,H56&gt;0.15),$R$6,IF(AND(C56&gt;=$S$7,H56=0.15),$R$7,IF(AND(C56&gt;=$S$8,H56&gt;0.15),$R$8,#REF!)))))</f>
        <v>5</v>
      </c>
      <c r="H56" s="28">
        <v>0.3</v>
      </c>
      <c r="I56" s="17" t="str">
        <f t="shared" si="7"/>
        <v>50% of Remaining, no input required</v>
      </c>
      <c r="J56" s="29"/>
      <c r="K56" s="30">
        <f t="shared" si="8"/>
        <v>0.7</v>
      </c>
      <c r="M56" s="56" t="str">
        <f t="shared" si="9"/>
        <v/>
      </c>
      <c r="N56" s="56" t="str">
        <f t="shared" si="10"/>
        <v>No</v>
      </c>
      <c r="O56" s="56" t="str">
        <f t="shared" si="11"/>
        <v/>
      </c>
    </row>
    <row r="57" spans="1:15" x14ac:dyDescent="0.2">
      <c r="A57" s="13" t="s">
        <v>132</v>
      </c>
      <c r="B57" s="14" t="str">
        <f>IFERROR(VLOOKUP(A57,'County Contribution Actual'!$B$3:$D$36,2,FALSE),"No")</f>
        <v>No</v>
      </c>
      <c r="C57" s="43">
        <f>VLOOKUP(A57,'County Funding Level '!$A$2:$B$102,2,FALSE)</f>
        <v>4092406</v>
      </c>
      <c r="D57" s="15" t="str">
        <f>IFERROR(VLOOKUP(A57,'County Contribution Actual'!$B$3:$D$36,3,FALSE),"No")</f>
        <v>No</v>
      </c>
      <c r="E57" s="15" t="str">
        <f t="shared" si="6"/>
        <v>NA</v>
      </c>
      <c r="G57" s="37">
        <f>IF(C57&gt;=$S$4,$R$4,IF(AND(C57&gt;=$S$5,H57=0.15),$R$5,IF(AND(C57&gt;=$S$6,H57&gt;0.15),$R$6,IF(AND(C57&gt;=$S$7,H57=0.15),$R$7,IF(AND(C57&gt;=$S$8,H57&gt;0.15),$R$8,#REF!)))))</f>
        <v>3</v>
      </c>
      <c r="H57" s="28">
        <v>0.3</v>
      </c>
      <c r="I57" s="17" t="str">
        <f t="shared" si="7"/>
        <v>50% of Remaining, no input required</v>
      </c>
      <c r="J57" s="29"/>
      <c r="K57" s="30">
        <f t="shared" si="8"/>
        <v>0.7</v>
      </c>
      <c r="M57" s="56" t="str">
        <f t="shared" si="9"/>
        <v/>
      </c>
      <c r="N57" s="56" t="str">
        <f t="shared" si="10"/>
        <v>No</v>
      </c>
      <c r="O57" s="56" t="str">
        <f t="shared" si="11"/>
        <v/>
      </c>
    </row>
    <row r="58" spans="1:15" x14ac:dyDescent="0.2">
      <c r="A58" s="13" t="s">
        <v>133</v>
      </c>
      <c r="B58" s="14" t="str">
        <f>IFERROR(VLOOKUP(A58,'County Contribution Actual'!$B$3:$D$36,2,FALSE),"No")</f>
        <v>No</v>
      </c>
      <c r="C58" s="43">
        <f>VLOOKUP(A58,'County Funding Level '!$A$2:$B$102,2,FALSE)</f>
        <v>104339752</v>
      </c>
      <c r="D58" s="15" t="str">
        <f>IFERROR(VLOOKUP(A58,'County Contribution Actual'!$B$3:$D$36,3,FALSE),"No")</f>
        <v>No</v>
      </c>
      <c r="E58" s="15" t="str">
        <f t="shared" si="6"/>
        <v>NA</v>
      </c>
      <c r="G58" s="37">
        <f>IF(C58&gt;=$S$4,$R$4,IF(AND(C58&gt;=$S$5,H58=0.15),$R$5,IF(AND(C58&gt;=$S$6,H58&gt;0.15),$R$6,IF(AND(C58&gt;=$S$7,H58=0.15),$R$7,IF(AND(C58&gt;=$S$8,H58&gt;0.15),$R$8,#REF!)))))</f>
        <v>1</v>
      </c>
      <c r="H58" s="28">
        <v>0.3</v>
      </c>
      <c r="I58" s="17" t="str">
        <f t="shared" si="7"/>
        <v>&gt;35%</v>
      </c>
      <c r="J58" s="29"/>
      <c r="K58" s="30">
        <f t="shared" si="8"/>
        <v>0.7</v>
      </c>
      <c r="M58" s="56" t="str">
        <f t="shared" si="9"/>
        <v/>
      </c>
      <c r="N58" s="56" t="str">
        <f t="shared" si="10"/>
        <v>No</v>
      </c>
      <c r="O58" s="56" t="str">
        <f t="shared" si="11"/>
        <v/>
      </c>
    </row>
    <row r="59" spans="1:15" x14ac:dyDescent="0.2">
      <c r="A59" s="13" t="s">
        <v>134</v>
      </c>
      <c r="B59" s="14" t="str">
        <f>IFERROR(VLOOKUP(A59,'County Contribution Actual'!$B$3:$D$36,2,FALSE),"No")</f>
        <v>No</v>
      </c>
      <c r="C59" s="43">
        <f>VLOOKUP(A59,'County Funding Level '!$A$2:$B$102,2,FALSE)</f>
        <v>9713856</v>
      </c>
      <c r="D59" s="15" t="str">
        <f>IFERROR(VLOOKUP(A59,'County Contribution Actual'!$B$3:$D$36,3,FALSE),"No")</f>
        <v>No</v>
      </c>
      <c r="E59" s="15" t="str">
        <f t="shared" si="6"/>
        <v>NA</v>
      </c>
      <c r="G59" s="37">
        <f>IF(C59&gt;=$S$4,$R$4,IF(AND(C59&gt;=$S$5,H59=0.15),$R$5,IF(AND(C59&gt;=$S$6,H59&gt;0.15),$R$6,IF(AND(C59&gt;=$S$7,H59=0.15),$R$7,IF(AND(C59&gt;=$S$8,H59&gt;0.15),$R$8,#REF!)))))</f>
        <v>1</v>
      </c>
      <c r="H59" s="28">
        <v>0.3</v>
      </c>
      <c r="I59" s="17" t="str">
        <f t="shared" si="7"/>
        <v>&gt;35%</v>
      </c>
      <c r="J59" s="29"/>
      <c r="K59" s="30">
        <f t="shared" si="8"/>
        <v>0.7</v>
      </c>
      <c r="M59" s="56" t="str">
        <f t="shared" si="9"/>
        <v/>
      </c>
      <c r="N59" s="56" t="str">
        <f t="shared" si="10"/>
        <v>No</v>
      </c>
      <c r="O59" s="56" t="str">
        <f t="shared" si="11"/>
        <v/>
      </c>
    </row>
    <row r="60" spans="1:15" x14ac:dyDescent="0.2">
      <c r="A60" s="13" t="s">
        <v>135</v>
      </c>
      <c r="B60" s="14" t="str">
        <f>IFERROR(VLOOKUP(A60,'County Contribution Actual'!$B$3:$D$36,2,FALSE),"No")</f>
        <v>yes</v>
      </c>
      <c r="C60" s="43">
        <f>VLOOKUP(A60,'County Funding Level '!$A$2:$B$102,2,FALSE)</f>
        <v>22806876</v>
      </c>
      <c r="D60" s="15">
        <f>IFERROR(VLOOKUP(A60,'County Contribution Actual'!$B$3:$D$36,3,FALSE),"No")</f>
        <v>2500000</v>
      </c>
      <c r="E60" s="15" t="str">
        <f t="shared" si="6"/>
        <v>NA</v>
      </c>
      <c r="G60" s="37">
        <f>IF(C60&gt;=$S$4,$R$4,IF(AND(C60&gt;=$S$5,H60=0.15),$R$5,IF(AND(C60&gt;=$S$6,H60&gt;0.15),$R$6,IF(AND(C60&gt;=$S$7,H60=0.15),$R$7,IF(AND(C60&gt;=$S$8,H60&gt;0.15),$R$8,#REF!)))))</f>
        <v>1</v>
      </c>
      <c r="H60" s="28">
        <v>0.3</v>
      </c>
      <c r="I60" s="17" t="str">
        <f t="shared" si="7"/>
        <v>&gt;35%</v>
      </c>
      <c r="J60" s="29"/>
      <c r="K60" s="30">
        <f t="shared" si="8"/>
        <v>0.7</v>
      </c>
      <c r="M60" s="56" t="str">
        <f t="shared" si="9"/>
        <v/>
      </c>
      <c r="N60" s="56">
        <f t="shared" si="10"/>
        <v>2500000</v>
      </c>
      <c r="O60" s="56" t="str">
        <f t="shared" si="11"/>
        <v/>
      </c>
    </row>
    <row r="61" spans="1:15" x14ac:dyDescent="0.2">
      <c r="A61" s="13" t="s">
        <v>136</v>
      </c>
      <c r="B61" s="14" t="str">
        <f>IFERROR(VLOOKUP(A61,'County Contribution Actual'!$B$3:$D$36,2,FALSE),"No")</f>
        <v>No</v>
      </c>
      <c r="C61" s="43">
        <f>VLOOKUP(A61,'County Funding Level '!$A$2:$B$102,2,FALSE)</f>
        <v>4598980</v>
      </c>
      <c r="D61" s="15" t="str">
        <f>IFERROR(VLOOKUP(A61,'County Contribution Actual'!$B$3:$D$36,3,FALSE),"No")</f>
        <v>No</v>
      </c>
      <c r="E61" s="15" t="str">
        <f t="shared" si="6"/>
        <v>NA</v>
      </c>
      <c r="G61" s="37">
        <f>IF(C61&gt;=$S$4,$R$4,IF(AND(C61&gt;=$S$5,H61=0.15),$R$5,IF(AND(C61&gt;=$S$6,H61&gt;0.15),$R$6,IF(AND(C61&gt;=$S$7,H61=0.15),$R$7,IF(AND(C61&gt;=$S$8,H61&gt;0.15),$R$8,#REF!)))))</f>
        <v>3</v>
      </c>
      <c r="H61" s="28">
        <v>0.3</v>
      </c>
      <c r="I61" s="17" t="str">
        <f t="shared" si="7"/>
        <v>50% of Remaining, no input required</v>
      </c>
      <c r="J61" s="29"/>
      <c r="K61" s="30">
        <f t="shared" si="8"/>
        <v>0.7</v>
      </c>
      <c r="M61" s="56" t="str">
        <f t="shared" si="9"/>
        <v/>
      </c>
      <c r="N61" s="56" t="str">
        <f t="shared" si="10"/>
        <v>No</v>
      </c>
      <c r="O61" s="56" t="str">
        <f t="shared" si="11"/>
        <v/>
      </c>
    </row>
    <row r="62" spans="1:15" x14ac:dyDescent="0.2">
      <c r="A62" s="13" t="s">
        <v>137</v>
      </c>
      <c r="B62" s="14" t="str">
        <f>IFERROR(VLOOKUP(A62,'County Contribution Actual'!$B$3:$D$36,2,FALSE),"No")</f>
        <v>No</v>
      </c>
      <c r="C62" s="43">
        <f>VLOOKUP(A62,'County Funding Level '!$A$2:$B$102,2,FALSE)</f>
        <v>10728557</v>
      </c>
      <c r="D62" s="15" t="str">
        <f>IFERROR(VLOOKUP(A62,'County Contribution Actual'!$B$3:$D$36,3,FALSE),"No")</f>
        <v>No</v>
      </c>
      <c r="E62" s="15" t="str">
        <f t="shared" si="6"/>
        <v>NA</v>
      </c>
      <c r="G62" s="37">
        <f>IF(C62&gt;=$S$4,$R$4,IF(AND(C62&gt;=$S$5,H62=0.15),$R$5,IF(AND(C62&gt;=$S$6,H62&gt;0.15),$R$6,IF(AND(C62&gt;=$S$7,H62=0.15),$R$7,IF(AND(C62&gt;=$S$8,H62&gt;0.15),$R$8,#REF!)))))</f>
        <v>1</v>
      </c>
      <c r="H62" s="28">
        <v>0.3</v>
      </c>
      <c r="I62" s="17" t="str">
        <f t="shared" si="7"/>
        <v>&gt;35%</v>
      </c>
      <c r="J62" s="29"/>
      <c r="K62" s="30">
        <f t="shared" si="8"/>
        <v>0.7</v>
      </c>
      <c r="M62" s="56" t="str">
        <f t="shared" si="9"/>
        <v/>
      </c>
      <c r="N62" s="56" t="str">
        <f t="shared" si="10"/>
        <v>No</v>
      </c>
      <c r="O62" s="56" t="str">
        <f t="shared" si="11"/>
        <v/>
      </c>
    </row>
    <row r="63" spans="1:15" x14ac:dyDescent="0.2">
      <c r="A63" s="13" t="s">
        <v>138</v>
      </c>
      <c r="B63" s="14" t="str">
        <f>IFERROR(VLOOKUP(A63,'County Contribution Actual'!$B$3:$D$36,2,FALSE),"No")</f>
        <v>No</v>
      </c>
      <c r="C63" s="43">
        <f>VLOOKUP(A63,'County Funding Level '!$A$2:$B$102,2,FALSE)</f>
        <v>958954</v>
      </c>
      <c r="D63" s="15" t="str">
        <f>IFERROR(VLOOKUP(A63,'County Contribution Actual'!$B$3:$D$36,3,FALSE),"No")</f>
        <v>No</v>
      </c>
      <c r="E63" s="15" t="str">
        <f t="shared" si="6"/>
        <v>NA</v>
      </c>
      <c r="G63" s="37">
        <f>IF(C63&gt;=$S$4,$R$4,IF(AND(C63&gt;=$S$5,H63=0.15),$R$5,IF(AND(C63&gt;=$S$6,H63&gt;0.15),$R$6,IF(AND(C63&gt;=$S$7,H63=0.15),$R$7,IF(AND(C63&gt;=$S$8,H63&gt;0.15),$R$8,#REF!)))))</f>
        <v>5</v>
      </c>
      <c r="H63" s="28">
        <v>0.3</v>
      </c>
      <c r="I63" s="17" t="str">
        <f t="shared" si="7"/>
        <v>50% of Remaining, no input required</v>
      </c>
      <c r="J63" s="29"/>
      <c r="K63" s="30">
        <f t="shared" si="8"/>
        <v>0.7</v>
      </c>
      <c r="M63" s="56" t="str">
        <f t="shared" si="9"/>
        <v/>
      </c>
      <c r="N63" s="56" t="str">
        <f t="shared" si="10"/>
        <v>No</v>
      </c>
      <c r="O63" s="56" t="str">
        <f t="shared" si="11"/>
        <v/>
      </c>
    </row>
    <row r="64" spans="1:15" x14ac:dyDescent="0.2">
      <c r="A64" s="13" t="s">
        <v>139</v>
      </c>
      <c r="B64" s="14" t="str">
        <f>IFERROR(VLOOKUP(A64,'County Contribution Actual'!$B$3:$D$36,2,FALSE),"No")</f>
        <v>No</v>
      </c>
      <c r="C64" s="43">
        <f>VLOOKUP(A64,'County Funding Level '!$A$2:$B$102,2,FALSE)</f>
        <v>35313684</v>
      </c>
      <c r="D64" s="15" t="str">
        <f>IFERROR(VLOOKUP(A64,'County Contribution Actual'!$B$3:$D$36,3,FALSE),"No")</f>
        <v>No</v>
      </c>
      <c r="E64" s="15" t="str">
        <f t="shared" si="6"/>
        <v>NA</v>
      </c>
      <c r="G64" s="37">
        <f>IF(C64&gt;=$S$4,$R$4,IF(AND(C64&gt;=$S$5,H64=0.15),$R$5,IF(AND(C64&gt;=$S$6,H64&gt;0.15),$R$6,IF(AND(C64&gt;=$S$7,H64=0.15),$R$7,IF(AND(C64&gt;=$S$8,H64&gt;0.15),$R$8,#REF!)))))</f>
        <v>1</v>
      </c>
      <c r="H64" s="28">
        <v>0.3</v>
      </c>
      <c r="I64" s="17" t="str">
        <f t="shared" si="7"/>
        <v>&gt;35%</v>
      </c>
      <c r="J64" s="29"/>
      <c r="K64" s="30">
        <f t="shared" si="8"/>
        <v>0.7</v>
      </c>
      <c r="M64" s="56" t="str">
        <f t="shared" si="9"/>
        <v/>
      </c>
      <c r="N64" s="56" t="str">
        <f t="shared" si="10"/>
        <v>No</v>
      </c>
      <c r="O64" s="56" t="str">
        <f t="shared" si="11"/>
        <v/>
      </c>
    </row>
    <row r="65" spans="1:15" x14ac:dyDescent="0.2">
      <c r="A65" s="13" t="s">
        <v>140</v>
      </c>
      <c r="B65" s="14" t="str">
        <f>IFERROR(VLOOKUP(A65,'County Contribution Actual'!$B$3:$D$36,2,FALSE),"No")</f>
        <v>No</v>
      </c>
      <c r="C65" s="43">
        <f>VLOOKUP(A65,'County Funding Level '!$A$2:$B$102,2,FALSE)</f>
        <v>8534441</v>
      </c>
      <c r="D65" s="15" t="str">
        <f>IFERROR(VLOOKUP(A65,'County Contribution Actual'!$B$3:$D$36,3,FALSE),"No")</f>
        <v>No</v>
      </c>
      <c r="E65" s="15" t="str">
        <f t="shared" si="6"/>
        <v>NA</v>
      </c>
      <c r="G65" s="37">
        <f>IF(C65&gt;=$S$4,$R$4,IF(AND(C65&gt;=$S$5,H65=0.15),$R$5,IF(AND(C65&gt;=$S$6,H65&gt;0.15),$R$6,IF(AND(C65&gt;=$S$7,H65=0.15),$R$7,IF(AND(C65&gt;=$S$8,H65&gt;0.15),$R$8,#REF!)))))</f>
        <v>1</v>
      </c>
      <c r="H65" s="28">
        <v>0.3</v>
      </c>
      <c r="I65" s="17" t="str">
        <f t="shared" si="7"/>
        <v>&gt;35%</v>
      </c>
      <c r="J65" s="29"/>
      <c r="K65" s="30">
        <f t="shared" si="8"/>
        <v>0.7</v>
      </c>
      <c r="M65" s="56" t="str">
        <f t="shared" si="9"/>
        <v/>
      </c>
      <c r="N65" s="56" t="str">
        <f t="shared" si="10"/>
        <v>No</v>
      </c>
      <c r="O65" s="56" t="str">
        <f t="shared" si="11"/>
        <v/>
      </c>
    </row>
    <row r="66" spans="1:15" x14ac:dyDescent="0.2">
      <c r="A66" s="13" t="s">
        <v>141</v>
      </c>
      <c r="B66" s="14" t="str">
        <f>IFERROR(VLOOKUP(A66,'County Contribution Actual'!$B$3:$D$36,2,FALSE),"No")</f>
        <v>No</v>
      </c>
      <c r="C66" s="43">
        <f>VLOOKUP(A66,'County Funding Level '!$A$2:$B$102,2,FALSE)</f>
        <v>40661647</v>
      </c>
      <c r="D66" s="15" t="str">
        <f>IFERROR(VLOOKUP(A66,'County Contribution Actual'!$B$3:$D$36,3,FALSE),"No")</f>
        <v>No</v>
      </c>
      <c r="E66" s="15" t="str">
        <f t="shared" si="6"/>
        <v>NA</v>
      </c>
      <c r="G66" s="37">
        <f>IF(C66&gt;=$S$4,$R$4,IF(AND(C66&gt;=$S$5,H66=0.15),$R$5,IF(AND(C66&gt;=$S$6,H66&gt;0.15),$R$6,IF(AND(C66&gt;=$S$7,H66=0.15),$R$7,IF(AND(C66&gt;=$S$8,H66&gt;0.15),$R$8,#REF!)))))</f>
        <v>1</v>
      </c>
      <c r="H66" s="28">
        <v>0.3</v>
      </c>
      <c r="I66" s="17" t="str">
        <f t="shared" si="7"/>
        <v>&gt;35%</v>
      </c>
      <c r="J66" s="29"/>
      <c r="K66" s="30">
        <f t="shared" si="8"/>
        <v>0.7</v>
      </c>
      <c r="M66" s="56" t="str">
        <f t="shared" si="9"/>
        <v/>
      </c>
      <c r="N66" s="56" t="str">
        <f t="shared" si="10"/>
        <v>No</v>
      </c>
      <c r="O66" s="56" t="str">
        <f t="shared" si="11"/>
        <v/>
      </c>
    </row>
    <row r="67" spans="1:15" x14ac:dyDescent="0.2">
      <c r="A67" s="13" t="s">
        <v>142</v>
      </c>
      <c r="B67" s="14" t="str">
        <f>IFERROR(VLOOKUP(A67,'County Contribution Actual'!$B$3:$D$36,2,FALSE),"No")</f>
        <v>No</v>
      </c>
      <c r="C67" s="43">
        <f>VLOOKUP(A67,'County Funding Level '!$A$2:$B$102,2,FALSE)</f>
        <v>10867437</v>
      </c>
      <c r="D67" s="15" t="str">
        <f>IFERROR(VLOOKUP(A67,'County Contribution Actual'!$B$3:$D$36,3,FALSE),"No")</f>
        <v>No</v>
      </c>
      <c r="E67" s="15" t="str">
        <f t="shared" ref="E67:E98" si="12">IFERROR(D67/J67,"NA")</f>
        <v>NA</v>
      </c>
      <c r="G67" s="37">
        <f>IF(C67&gt;=$S$4,$R$4,IF(AND(C67&gt;=$S$5,H67=0.15),$R$5,IF(AND(C67&gt;=$S$6,H67&gt;0.15),$R$6,IF(AND(C67&gt;=$S$7,H67=0.15),$R$7,IF(AND(C67&gt;=$S$8,H67&gt;0.15),$R$8,#REF!)))))</f>
        <v>1</v>
      </c>
      <c r="H67" s="28">
        <v>0.3</v>
      </c>
      <c r="I67" s="17" t="str">
        <f t="shared" ref="I67:I102" si="13">IF(OR(G67=3,G67=5),$V$6,IF(G67=2,$V$5,IF(G67=1,$V$4,$V$7)))</f>
        <v>&gt;35%</v>
      </c>
      <c r="J67" s="29"/>
      <c r="K67" s="30">
        <f t="shared" ref="K67:K98" si="14">1-H67-J67</f>
        <v>0.7</v>
      </c>
      <c r="M67" s="56" t="str">
        <f t="shared" ref="M67:M102" si="15">IFERROR(E67*H67,"")</f>
        <v/>
      </c>
      <c r="N67" s="56" t="str">
        <f t="shared" ref="N67:N102" si="16">D67</f>
        <v>No</v>
      </c>
      <c r="O67" s="56" t="str">
        <f t="shared" ref="O67:O98" si="17">IFERROR(E67-M67-N67,"")</f>
        <v/>
      </c>
    </row>
    <row r="68" spans="1:15" x14ac:dyDescent="0.2">
      <c r="A68" s="13" t="s">
        <v>143</v>
      </c>
      <c r="B68" s="14" t="str">
        <f>IFERROR(VLOOKUP(A68,'County Contribution Actual'!$B$3:$D$36,2,FALSE),"No")</f>
        <v>No</v>
      </c>
      <c r="C68" s="43">
        <f>VLOOKUP(A68,'County Funding Level '!$A$2:$B$102,2,FALSE)</f>
        <v>16726052</v>
      </c>
      <c r="D68" s="15" t="str">
        <f>IFERROR(VLOOKUP(A68,'County Contribution Actual'!$B$3:$D$36,3,FALSE),"No")</f>
        <v>No</v>
      </c>
      <c r="E68" s="15" t="str">
        <f t="shared" si="12"/>
        <v>NA</v>
      </c>
      <c r="G68" s="37">
        <f>IF(C68&gt;=$S$4,$R$4,IF(AND(C68&gt;=$S$5,H68=0.15),$R$5,IF(AND(C68&gt;=$S$6,H68&gt;0.15),$R$6,IF(AND(C68&gt;=$S$7,H68=0.15),$R$7,IF(AND(C68&gt;=$S$8,H68&gt;0.15),$R$8,#REF!)))))</f>
        <v>1</v>
      </c>
      <c r="H68" s="28">
        <v>0.3</v>
      </c>
      <c r="I68" s="17" t="str">
        <f t="shared" si="13"/>
        <v>&gt;35%</v>
      </c>
      <c r="J68" s="29"/>
      <c r="K68" s="30">
        <f t="shared" si="14"/>
        <v>0.7</v>
      </c>
      <c r="M68" s="56" t="str">
        <f t="shared" si="15"/>
        <v/>
      </c>
      <c r="N68" s="56" t="str">
        <f t="shared" si="16"/>
        <v>No</v>
      </c>
      <c r="O68" s="56" t="str">
        <f t="shared" si="17"/>
        <v/>
      </c>
    </row>
    <row r="69" spans="1:15" x14ac:dyDescent="0.2">
      <c r="A69" s="13" t="s">
        <v>144</v>
      </c>
      <c r="B69" s="14" t="str">
        <f>IFERROR(VLOOKUP(A69,'County Contribution Actual'!$B$3:$D$36,2,FALSE),"No")</f>
        <v>yes</v>
      </c>
      <c r="C69" s="43">
        <f>VLOOKUP(A69,'County Funding Level '!$A$2:$B$102,2,FALSE)</f>
        <v>6964996</v>
      </c>
      <c r="D69" s="15">
        <f>IFERROR(VLOOKUP(A69,'County Contribution Actual'!$B$3:$D$36,3,FALSE),"No")</f>
        <v>1067000</v>
      </c>
      <c r="E69" s="15" t="str">
        <f t="shared" si="12"/>
        <v>NA</v>
      </c>
      <c r="G69" s="37">
        <f>IF(C69&gt;=$S$4,$R$4,IF(AND(C69&gt;=$S$5,H69=0.15),$R$5,IF(AND(C69&gt;=$S$6,H69&gt;0.15),$R$6,IF(AND(C69&gt;=$S$7,H69=0.15),$R$7,IF(AND(C69&gt;=$S$8,H69&gt;0.15),$R$8,#REF!)))))</f>
        <v>3</v>
      </c>
      <c r="H69" s="28">
        <v>0.3</v>
      </c>
      <c r="I69" s="17" t="str">
        <f t="shared" si="13"/>
        <v>50% of Remaining, no input required</v>
      </c>
      <c r="J69" s="29"/>
      <c r="K69" s="30">
        <f t="shared" si="14"/>
        <v>0.7</v>
      </c>
      <c r="M69" s="56" t="str">
        <f t="shared" si="15"/>
        <v/>
      </c>
      <c r="N69" s="56">
        <f t="shared" si="16"/>
        <v>1067000</v>
      </c>
      <c r="O69" s="56" t="str">
        <f t="shared" si="17"/>
        <v/>
      </c>
    </row>
    <row r="70" spans="1:15" x14ac:dyDescent="0.2">
      <c r="A70" s="13" t="s">
        <v>145</v>
      </c>
      <c r="B70" s="14" t="str">
        <f>IFERROR(VLOOKUP(A70,'County Contribution Actual'!$B$3:$D$36,2,FALSE),"No")</f>
        <v>No</v>
      </c>
      <c r="C70" s="43">
        <f>VLOOKUP(A70,'County Funding Level '!$A$2:$B$102,2,FALSE)</f>
        <v>4225654</v>
      </c>
      <c r="D70" s="15" t="str">
        <f>IFERROR(VLOOKUP(A70,'County Contribution Actual'!$B$3:$D$36,3,FALSE),"No")</f>
        <v>No</v>
      </c>
      <c r="E70" s="15" t="str">
        <f t="shared" si="12"/>
        <v>NA</v>
      </c>
      <c r="G70" s="37">
        <f>IF(C70&gt;=$S$4,$R$4,IF(AND(C70&gt;=$S$5,H70=0.15),$R$5,IF(AND(C70&gt;=$S$6,H70&gt;0.15),$R$6,IF(AND(C70&gt;=$S$7,H70=0.15),$R$7,IF(AND(C70&gt;=$S$8,H70&gt;0.15),$R$8,#REF!)))))</f>
        <v>3</v>
      </c>
      <c r="H70" s="28">
        <v>0.3</v>
      </c>
      <c r="I70" s="17" t="str">
        <f t="shared" si="13"/>
        <v>50% of Remaining, no input required</v>
      </c>
      <c r="J70" s="29"/>
      <c r="K70" s="30">
        <f t="shared" si="14"/>
        <v>0.7</v>
      </c>
      <c r="M70" s="56" t="str">
        <f t="shared" si="15"/>
        <v/>
      </c>
      <c r="N70" s="56" t="str">
        <f t="shared" si="16"/>
        <v>No</v>
      </c>
      <c r="O70" s="56" t="str">
        <f t="shared" si="17"/>
        <v/>
      </c>
    </row>
    <row r="71" spans="1:15" x14ac:dyDescent="0.2">
      <c r="A71" s="13" t="s">
        <v>146</v>
      </c>
      <c r="B71" s="14" t="str">
        <f>IFERROR(VLOOKUP(A71,'County Contribution Actual'!$B$3:$D$36,2,FALSE),"No")</f>
        <v>yes</v>
      </c>
      <c r="C71" s="43">
        <f>VLOOKUP(A71,'County Funding Level '!$A$2:$B$102,2,FALSE)</f>
        <v>4358707</v>
      </c>
      <c r="D71" s="15">
        <f>IFERROR(VLOOKUP(A71,'County Contribution Actual'!$B$3:$D$36,3,FALSE),"No")</f>
        <v>400000</v>
      </c>
      <c r="E71" s="15" t="str">
        <f t="shared" si="12"/>
        <v>NA</v>
      </c>
      <c r="G71" s="37">
        <f>IF(C71&gt;=$S$4,$R$4,IF(AND(C71&gt;=$S$5,H71=0.15),$R$5,IF(AND(C71&gt;=$S$6,H71&gt;0.15),$R$6,IF(AND(C71&gt;=$S$7,H71=0.15),$R$7,IF(AND(C71&gt;=$S$8,H71&gt;0.15),$R$8,#REF!)))))</f>
        <v>3</v>
      </c>
      <c r="H71" s="28">
        <v>0.3</v>
      </c>
      <c r="I71" s="17" t="str">
        <f t="shared" si="13"/>
        <v>50% of Remaining, no input required</v>
      </c>
      <c r="J71" s="29"/>
      <c r="K71" s="30">
        <f t="shared" si="14"/>
        <v>0.7</v>
      </c>
      <c r="M71" s="56" t="str">
        <f t="shared" si="15"/>
        <v/>
      </c>
      <c r="N71" s="56">
        <f t="shared" si="16"/>
        <v>400000</v>
      </c>
      <c r="O71" s="56" t="str">
        <f t="shared" si="17"/>
        <v/>
      </c>
    </row>
    <row r="72" spans="1:15" x14ac:dyDescent="0.2">
      <c r="A72" s="13" t="s">
        <v>147</v>
      </c>
      <c r="B72" s="14" t="str">
        <f>IFERROR(VLOOKUP(A72,'County Contribution Actual'!$B$3:$D$36,2,FALSE),"No")</f>
        <v>No</v>
      </c>
      <c r="C72" s="43">
        <f>VLOOKUP(A72,'County Funding Level '!$A$2:$B$102,2,FALSE)</f>
        <v>215673636</v>
      </c>
      <c r="D72" s="15" t="str">
        <f>IFERROR(VLOOKUP(A72,'County Contribution Actual'!$B$3:$D$36,3,FALSE),"No")</f>
        <v>No</v>
      </c>
      <c r="E72" s="15" t="str">
        <f t="shared" si="12"/>
        <v>NA</v>
      </c>
      <c r="G72" s="37">
        <f>IF(C72&gt;=$S$4,$R$4,IF(AND(C72&gt;=$S$5,H72=0.15),$R$5,IF(AND(C72&gt;=$S$6,H72&gt;0.15),$R$6,IF(AND(C72&gt;=$S$7,H72=0.15),$R$7,IF(AND(C72&gt;=$S$8,H72&gt;0.15),$R$8,#REF!)))))</f>
        <v>1</v>
      </c>
      <c r="H72" s="28">
        <v>0.3</v>
      </c>
      <c r="I72" s="17" t="str">
        <f t="shared" si="13"/>
        <v>&gt;35%</v>
      </c>
      <c r="J72" s="29"/>
      <c r="K72" s="30">
        <f t="shared" si="14"/>
        <v>0.7</v>
      </c>
      <c r="M72" s="56" t="str">
        <f t="shared" si="15"/>
        <v/>
      </c>
      <c r="N72" s="56" t="str">
        <f t="shared" si="16"/>
        <v>No</v>
      </c>
      <c r="O72" s="56" t="str">
        <f t="shared" si="17"/>
        <v/>
      </c>
    </row>
    <row r="73" spans="1:15" x14ac:dyDescent="0.2">
      <c r="A73" s="13" t="s">
        <v>148</v>
      </c>
      <c r="B73" s="14" t="str">
        <f>IFERROR(VLOOKUP(A73,'County Contribution Actual'!$B$3:$D$36,2,FALSE),"No")</f>
        <v>No</v>
      </c>
      <c r="C73" s="43">
        <f>VLOOKUP(A73,'County Funding Level '!$A$2:$B$102,2,FALSE)</f>
        <v>2906582</v>
      </c>
      <c r="D73" s="15" t="str">
        <f>IFERROR(VLOOKUP(A73,'County Contribution Actual'!$B$3:$D$36,3,FALSE),"No")</f>
        <v>No</v>
      </c>
      <c r="E73" s="15" t="str">
        <f t="shared" si="12"/>
        <v>NA</v>
      </c>
      <c r="G73" s="37">
        <f>IF(C73&gt;=$S$4,$R$4,IF(AND(C73&gt;=$S$5,H73=0.15),$R$5,IF(AND(C73&gt;=$S$6,H73&gt;0.15),$R$6,IF(AND(C73&gt;=$S$7,H73=0.15),$R$7,IF(AND(C73&gt;=$S$8,H73&gt;0.15),$R$8,#REF!)))))</f>
        <v>5</v>
      </c>
      <c r="H73" s="28">
        <v>0.3</v>
      </c>
      <c r="I73" s="17" t="str">
        <f t="shared" si="13"/>
        <v>50% of Remaining, no input required</v>
      </c>
      <c r="J73" s="29"/>
      <c r="K73" s="30">
        <f t="shared" si="14"/>
        <v>0.7</v>
      </c>
      <c r="M73" s="56" t="str">
        <f t="shared" si="15"/>
        <v/>
      </c>
      <c r="N73" s="56" t="str">
        <f t="shared" si="16"/>
        <v>No</v>
      </c>
      <c r="O73" s="56" t="str">
        <f t="shared" si="17"/>
        <v/>
      </c>
    </row>
    <row r="74" spans="1:15" x14ac:dyDescent="0.2">
      <c r="A74" s="13" t="s">
        <v>149</v>
      </c>
      <c r="B74" s="14" t="str">
        <f>IFERROR(VLOOKUP(A74,'County Contribution Actual'!$B$3:$D$36,2,FALSE),"No")</f>
        <v>No</v>
      </c>
      <c r="C74" s="43">
        <f>VLOOKUP(A74,'County Funding Level '!$A$2:$B$102,2,FALSE)</f>
        <v>5278037</v>
      </c>
      <c r="D74" s="15" t="str">
        <f>IFERROR(VLOOKUP(A74,'County Contribution Actual'!$B$3:$D$36,3,FALSE),"No")</f>
        <v>No</v>
      </c>
      <c r="E74" s="15" t="str">
        <f t="shared" si="12"/>
        <v>NA</v>
      </c>
      <c r="G74" s="37">
        <f>IF(C74&gt;=$S$4,$R$4,IF(AND(C74&gt;=$S$5,H74=0.15),$R$5,IF(AND(C74&gt;=$S$6,H74&gt;0.15),$R$6,IF(AND(C74&gt;=$S$7,H74=0.15),$R$7,IF(AND(C74&gt;=$S$8,H74&gt;0.15),$R$8,#REF!)))))</f>
        <v>3</v>
      </c>
      <c r="H74" s="28">
        <v>0.3</v>
      </c>
      <c r="I74" s="17" t="str">
        <f t="shared" si="13"/>
        <v>50% of Remaining, no input required</v>
      </c>
      <c r="J74" s="29"/>
      <c r="K74" s="30">
        <f t="shared" si="14"/>
        <v>0.7</v>
      </c>
      <c r="M74" s="56" t="str">
        <f t="shared" si="15"/>
        <v/>
      </c>
      <c r="N74" s="56" t="str">
        <f t="shared" si="16"/>
        <v>No</v>
      </c>
      <c r="O74" s="56" t="str">
        <f t="shared" si="17"/>
        <v/>
      </c>
    </row>
    <row r="75" spans="1:15" x14ac:dyDescent="0.2">
      <c r="A75" s="13" t="s">
        <v>150</v>
      </c>
      <c r="B75" s="14" t="str">
        <f>IFERROR(VLOOKUP(A75,'County Contribution Actual'!$B$3:$D$36,2,FALSE),"No")</f>
        <v>No</v>
      </c>
      <c r="C75" s="43">
        <f>VLOOKUP(A75,'County Funding Level '!$A$2:$B$102,2,FALSE)</f>
        <v>19594757</v>
      </c>
      <c r="D75" s="15" t="str">
        <f>IFERROR(VLOOKUP(A75,'County Contribution Actual'!$B$3:$D$36,3,FALSE),"No")</f>
        <v>No</v>
      </c>
      <c r="E75" s="15" t="str">
        <f t="shared" si="12"/>
        <v>NA</v>
      </c>
      <c r="G75" s="37">
        <f>IF(C75&gt;=$S$4,$R$4,IF(AND(C75&gt;=$S$5,H75=0.15),$R$5,IF(AND(C75&gt;=$S$6,H75&gt;0.15),$R$6,IF(AND(C75&gt;=$S$7,H75=0.15),$R$7,IF(AND(C75&gt;=$S$8,H75&gt;0.15),$R$8,#REF!)))))</f>
        <v>1</v>
      </c>
      <c r="H75" s="28">
        <v>0.3</v>
      </c>
      <c r="I75" s="17" t="str">
        <f t="shared" si="13"/>
        <v>&gt;35%</v>
      </c>
      <c r="J75" s="29"/>
      <c r="K75" s="30">
        <f t="shared" si="14"/>
        <v>0.7</v>
      </c>
      <c r="M75" s="56" t="str">
        <f t="shared" si="15"/>
        <v/>
      </c>
      <c r="N75" s="56" t="str">
        <f t="shared" si="16"/>
        <v>No</v>
      </c>
      <c r="O75" s="56" t="str">
        <f t="shared" si="17"/>
        <v/>
      </c>
    </row>
    <row r="76" spans="1:15" x14ac:dyDescent="0.2">
      <c r="A76" s="13" t="s">
        <v>151</v>
      </c>
      <c r="B76" s="14" t="str">
        <f>IFERROR(VLOOKUP(A76,'County Contribution Actual'!$B$3:$D$36,2,FALSE),"No")</f>
        <v>yes</v>
      </c>
      <c r="C76" s="43">
        <f>VLOOKUP(A76,'County Funding Level '!$A$2:$B$102,2,FALSE)</f>
        <v>18316281</v>
      </c>
      <c r="D76" s="15">
        <f>IFERROR(VLOOKUP(A76,'County Contribution Actual'!$B$3:$D$36,3,FALSE),"No")</f>
        <v>4000000</v>
      </c>
      <c r="E76" s="15" t="str">
        <f t="shared" si="12"/>
        <v>NA</v>
      </c>
      <c r="G76" s="37">
        <f>IF(C76&gt;=$S$4,$R$4,IF(AND(C76&gt;=$S$5,H76=0.15),$R$5,IF(AND(C76&gt;=$S$6,H76&gt;0.15),$R$6,IF(AND(C76&gt;=$S$7,H76=0.15),$R$7,IF(AND(C76&gt;=$S$8,H76&gt;0.15),$R$8,#REF!)))))</f>
        <v>1</v>
      </c>
      <c r="H76" s="28">
        <v>0.3</v>
      </c>
      <c r="I76" s="17" t="str">
        <f t="shared" si="13"/>
        <v>&gt;35%</v>
      </c>
      <c r="J76" s="29"/>
      <c r="K76" s="30">
        <f t="shared" si="14"/>
        <v>0.7</v>
      </c>
      <c r="M76" s="56" t="str">
        <f t="shared" si="15"/>
        <v/>
      </c>
      <c r="N76" s="56">
        <f t="shared" si="16"/>
        <v>4000000</v>
      </c>
      <c r="O76" s="56" t="str">
        <f t="shared" si="17"/>
        <v/>
      </c>
    </row>
    <row r="77" spans="1:15" x14ac:dyDescent="0.2">
      <c r="A77" s="13" t="s">
        <v>152</v>
      </c>
      <c r="B77" s="14" t="str">
        <f>IFERROR(VLOOKUP(A77,'County Contribution Actual'!$B$3:$D$36,2,FALSE),"No")</f>
        <v>No</v>
      </c>
      <c r="C77" s="43">
        <f>VLOOKUP(A77,'County Funding Level '!$A$2:$B$102,2,FALSE)</f>
        <v>45543632</v>
      </c>
      <c r="D77" s="15" t="str">
        <f>IFERROR(VLOOKUP(A77,'County Contribution Actual'!$B$3:$D$36,3,FALSE),"No")</f>
        <v>No</v>
      </c>
      <c r="E77" s="15" t="str">
        <f t="shared" si="12"/>
        <v>NA</v>
      </c>
      <c r="G77" s="37">
        <f>IF(C77&gt;=$S$4,$R$4,IF(AND(C77&gt;=$S$5,H77=0.15),$R$5,IF(AND(C77&gt;=$S$6,H77&gt;0.15),$R$6,IF(AND(C77&gt;=$S$7,H77=0.15),$R$7,IF(AND(C77&gt;=$S$8,H77&gt;0.15),$R$8,#REF!)))))</f>
        <v>1</v>
      </c>
      <c r="H77" s="28">
        <v>0.3</v>
      </c>
      <c r="I77" s="17" t="str">
        <f t="shared" si="13"/>
        <v>&gt;35%</v>
      </c>
      <c r="J77" s="29"/>
      <c r="K77" s="30">
        <f t="shared" si="14"/>
        <v>0.7</v>
      </c>
      <c r="M77" s="56" t="str">
        <f t="shared" si="15"/>
        <v/>
      </c>
      <c r="N77" s="56" t="str">
        <f t="shared" si="16"/>
        <v>No</v>
      </c>
      <c r="O77" s="56" t="str">
        <f t="shared" si="17"/>
        <v/>
      </c>
    </row>
    <row r="78" spans="1:15" x14ac:dyDescent="0.2">
      <c r="A78" s="13" t="s">
        <v>153</v>
      </c>
      <c r="B78" s="14" t="str">
        <f>IFERROR(VLOOKUP(A78,'County Contribution Actual'!$B$3:$D$36,2,FALSE),"No")</f>
        <v>yes</v>
      </c>
      <c r="C78" s="43">
        <f>VLOOKUP(A78,'County Funding Level '!$A$2:$B$102,2,FALSE)</f>
        <v>3784344</v>
      </c>
      <c r="D78" s="15">
        <f>IFERROR(VLOOKUP(A78,'County Contribution Actual'!$B$3:$D$36,3,FALSE),"No")</f>
        <v>500000</v>
      </c>
      <c r="E78" s="15" t="str">
        <f t="shared" si="12"/>
        <v>NA</v>
      </c>
      <c r="G78" s="37">
        <f>IF(C78&gt;=$S$4,$R$4,IF(AND(C78&gt;=$S$5,H78=0.15),$R$5,IF(AND(C78&gt;=$S$6,H78&gt;0.15),$R$6,IF(AND(C78&gt;=$S$7,H78=0.15),$R$7,IF(AND(C78&gt;=$S$8,H78&gt;0.15),$R$8,#REF!)))))</f>
        <v>5</v>
      </c>
      <c r="H78" s="28">
        <v>0.3</v>
      </c>
      <c r="I78" s="17" t="str">
        <f t="shared" si="13"/>
        <v>50% of Remaining, no input required</v>
      </c>
      <c r="J78" s="29"/>
      <c r="K78" s="30">
        <f t="shared" si="14"/>
        <v>0.7</v>
      </c>
      <c r="M78" s="56" t="str">
        <f t="shared" si="15"/>
        <v/>
      </c>
      <c r="N78" s="56">
        <f t="shared" si="16"/>
        <v>500000</v>
      </c>
      <c r="O78" s="56" t="str">
        <f t="shared" si="17"/>
        <v/>
      </c>
    </row>
    <row r="79" spans="1:15" x14ac:dyDescent="0.2">
      <c r="A79" s="13" t="s">
        <v>154</v>
      </c>
      <c r="B79" s="14" t="str">
        <f>IFERROR(VLOOKUP(A79,'County Contribution Actual'!$B$3:$D$36,2,FALSE),"No")</f>
        <v>No</v>
      </c>
      <c r="C79" s="43">
        <f>VLOOKUP(A79,'County Funding Level '!$A$2:$B$102,2,FALSE)</f>
        <v>38447136</v>
      </c>
      <c r="D79" s="15" t="str">
        <f>IFERROR(VLOOKUP(A79,'County Contribution Actual'!$B$3:$D$36,3,FALSE),"No")</f>
        <v>No</v>
      </c>
      <c r="E79" s="15" t="str">
        <f t="shared" si="12"/>
        <v>NA</v>
      </c>
      <c r="G79" s="37">
        <f>IF(C79&gt;=$S$4,$R$4,IF(AND(C79&gt;=$S$5,H79=0.15),$R$5,IF(AND(C79&gt;=$S$6,H79&gt;0.15),$R$6,IF(AND(C79&gt;=$S$7,H79=0.15),$R$7,IF(AND(C79&gt;=$S$8,H79&gt;0.15),$R$8,#REF!)))))</f>
        <v>1</v>
      </c>
      <c r="H79" s="28">
        <v>0.3</v>
      </c>
      <c r="I79" s="17" t="str">
        <f t="shared" si="13"/>
        <v>&gt;35%</v>
      </c>
      <c r="J79" s="29"/>
      <c r="K79" s="30">
        <f t="shared" si="14"/>
        <v>0.7</v>
      </c>
      <c r="M79" s="56" t="str">
        <f t="shared" si="15"/>
        <v/>
      </c>
      <c r="N79" s="56" t="str">
        <f t="shared" si="16"/>
        <v>No</v>
      </c>
      <c r="O79" s="56" t="str">
        <f t="shared" si="17"/>
        <v/>
      </c>
    </row>
    <row r="80" spans="1:15" x14ac:dyDescent="0.2">
      <c r="A80" s="13" t="s">
        <v>155</v>
      </c>
      <c r="B80" s="14" t="str">
        <f>IFERROR(VLOOKUP(A80,'County Contribution Actual'!$B$3:$D$36,2,FALSE),"No")</f>
        <v>No</v>
      </c>
      <c r="C80" s="43">
        <f>VLOOKUP(A80,'County Funding Level '!$A$2:$B$102,2,FALSE)</f>
        <v>28839722</v>
      </c>
      <c r="D80" s="15" t="str">
        <f>IFERROR(VLOOKUP(A80,'County Contribution Actual'!$B$3:$D$36,3,FALSE),"No")</f>
        <v>No</v>
      </c>
      <c r="E80" s="15" t="str">
        <f t="shared" si="12"/>
        <v>NA</v>
      </c>
      <c r="G80" s="37">
        <f>IF(C80&gt;=$S$4,$R$4,IF(AND(C80&gt;=$S$5,H80=0.15),$R$5,IF(AND(C80&gt;=$S$6,H80&gt;0.15),$R$6,IF(AND(C80&gt;=$S$7,H80=0.15),$R$7,IF(AND(C80&gt;=$S$8,H80&gt;0.15),$R$8,#REF!)))))</f>
        <v>1</v>
      </c>
      <c r="H80" s="28">
        <v>0.3</v>
      </c>
      <c r="I80" s="17" t="str">
        <f t="shared" si="13"/>
        <v>&gt;35%</v>
      </c>
      <c r="J80" s="29"/>
      <c r="K80" s="30">
        <f t="shared" si="14"/>
        <v>0.7</v>
      </c>
      <c r="M80" s="56" t="str">
        <f t="shared" si="15"/>
        <v/>
      </c>
      <c r="N80" s="56" t="str">
        <f t="shared" si="16"/>
        <v>No</v>
      </c>
      <c r="O80" s="56" t="str">
        <f t="shared" si="17"/>
        <v/>
      </c>
    </row>
    <row r="81" spans="1:15" x14ac:dyDescent="0.2">
      <c r="A81" s="13" t="s">
        <v>156</v>
      </c>
      <c r="B81" s="14" t="str">
        <f>IFERROR(VLOOKUP(A81,'County Contribution Actual'!$B$3:$D$36,2,FALSE),"No")</f>
        <v>No</v>
      </c>
      <c r="C81" s="43">
        <f>VLOOKUP(A81,'County Funding Level '!$A$2:$B$102,2,FALSE)</f>
        <v>12248666</v>
      </c>
      <c r="D81" s="15" t="str">
        <f>IFERROR(VLOOKUP(A81,'County Contribution Actual'!$B$3:$D$36,3,FALSE),"No")</f>
        <v>No</v>
      </c>
      <c r="E81" s="15" t="str">
        <f t="shared" si="12"/>
        <v>NA</v>
      </c>
      <c r="G81" s="37">
        <f>IF(C81&gt;=$S$4,$R$4,IF(AND(C81&gt;=$S$5,H81=0.15),$R$5,IF(AND(C81&gt;=$S$6,H81&gt;0.15),$R$6,IF(AND(C81&gt;=$S$7,H81=0.15),$R$7,IF(AND(C81&gt;=$S$8,H81&gt;0.15),$R$8,#REF!)))))</f>
        <v>1</v>
      </c>
      <c r="H81" s="28">
        <v>0.3</v>
      </c>
      <c r="I81" s="17" t="str">
        <f t="shared" si="13"/>
        <v>&gt;35%</v>
      </c>
      <c r="J81" s="29"/>
      <c r="K81" s="30">
        <f t="shared" si="14"/>
        <v>0.7</v>
      </c>
      <c r="M81" s="56" t="str">
        <f t="shared" si="15"/>
        <v/>
      </c>
      <c r="N81" s="56" t="str">
        <f t="shared" si="16"/>
        <v>No</v>
      </c>
      <c r="O81" s="56" t="str">
        <f t="shared" si="17"/>
        <v/>
      </c>
    </row>
    <row r="82" spans="1:15" x14ac:dyDescent="0.2">
      <c r="A82" s="13" t="s">
        <v>157</v>
      </c>
      <c r="B82" s="14" t="str">
        <f>IFERROR(VLOOKUP(A82,'County Contribution Actual'!$B$3:$D$36,2,FALSE),"No")</f>
        <v>No</v>
      </c>
      <c r="C82" s="43">
        <f>VLOOKUP(A82,'County Funding Level '!$A$2:$B$102,2,FALSE)</f>
        <v>27905631</v>
      </c>
      <c r="D82" s="15" t="str">
        <f>IFERROR(VLOOKUP(A82,'County Contribution Actual'!$B$3:$D$36,3,FALSE),"No")</f>
        <v>No</v>
      </c>
      <c r="E82" s="15" t="str">
        <f t="shared" si="12"/>
        <v>NA</v>
      </c>
      <c r="G82" s="37">
        <f>IF(C82&gt;=$S$4,$R$4,IF(AND(C82&gt;=$S$5,H82=0.15),$R$5,IF(AND(C82&gt;=$S$6,H82&gt;0.15),$R$6,IF(AND(C82&gt;=$S$7,H82=0.15),$R$7,IF(AND(C82&gt;=$S$8,H82&gt;0.15),$R$8,#REF!)))))</f>
        <v>1</v>
      </c>
      <c r="H82" s="28">
        <v>0.3</v>
      </c>
      <c r="I82" s="17" t="str">
        <f t="shared" si="13"/>
        <v>&gt;35%</v>
      </c>
      <c r="J82" s="29"/>
      <c r="K82" s="30">
        <f t="shared" si="14"/>
        <v>0.7</v>
      </c>
      <c r="M82" s="56" t="str">
        <f t="shared" si="15"/>
        <v/>
      </c>
      <c r="N82" s="56" t="str">
        <f t="shared" si="16"/>
        <v>No</v>
      </c>
      <c r="O82" s="56" t="str">
        <f t="shared" si="17"/>
        <v/>
      </c>
    </row>
    <row r="83" spans="1:15" x14ac:dyDescent="0.2">
      <c r="A83" s="13" t="s">
        <v>158</v>
      </c>
      <c r="B83" s="14" t="str">
        <f>IFERROR(VLOOKUP(A83,'County Contribution Actual'!$B$3:$D$36,2,FALSE),"No")</f>
        <v>No</v>
      </c>
      <c r="C83" s="43">
        <f>VLOOKUP(A83,'County Funding Level '!$A$2:$B$102,2,FALSE)</f>
        <v>8707508</v>
      </c>
      <c r="D83" s="15" t="str">
        <f>IFERROR(VLOOKUP(A83,'County Contribution Actual'!$B$3:$D$36,3,FALSE),"No")</f>
        <v>No</v>
      </c>
      <c r="E83" s="15" t="str">
        <f t="shared" si="12"/>
        <v>NA</v>
      </c>
      <c r="G83" s="37">
        <f>IF(C83&gt;=$S$4,$R$4,IF(AND(C83&gt;=$S$5,H83=0.15),$R$5,IF(AND(C83&gt;=$S$6,H83&gt;0.15),$R$6,IF(AND(C83&gt;=$S$7,H83=0.15),$R$7,IF(AND(C83&gt;=$S$8,H83&gt;0.15),$R$8,#REF!)))))</f>
        <v>1</v>
      </c>
      <c r="H83" s="28">
        <v>0.3</v>
      </c>
      <c r="I83" s="17" t="str">
        <f t="shared" si="13"/>
        <v>&gt;35%</v>
      </c>
      <c r="J83" s="29"/>
      <c r="K83" s="30">
        <f t="shared" si="14"/>
        <v>0.7</v>
      </c>
      <c r="M83" s="56" t="str">
        <f t="shared" si="15"/>
        <v/>
      </c>
      <c r="N83" s="56" t="str">
        <f t="shared" si="16"/>
        <v>No</v>
      </c>
      <c r="O83" s="56" t="str">
        <f t="shared" si="17"/>
        <v/>
      </c>
    </row>
    <row r="84" spans="1:15" x14ac:dyDescent="0.2">
      <c r="A84" s="13" t="s">
        <v>159</v>
      </c>
      <c r="B84" s="14" t="str">
        <f>IFERROR(VLOOKUP(A84,'County Contribution Actual'!$B$3:$D$36,2,FALSE),"No")</f>
        <v>No</v>
      </c>
      <c r="C84" s="43">
        <f>VLOOKUP(A84,'County Funding Level '!$A$2:$B$102,2,FALSE)</f>
        <v>25372375</v>
      </c>
      <c r="D84" s="15" t="str">
        <f>IFERROR(VLOOKUP(A84,'County Contribution Actual'!$B$3:$D$36,3,FALSE),"No")</f>
        <v>No</v>
      </c>
      <c r="E84" s="15" t="str">
        <f t="shared" si="12"/>
        <v>NA</v>
      </c>
      <c r="G84" s="37">
        <f>IF(C84&gt;=$S$4,$R$4,IF(AND(C84&gt;=$S$5,H84=0.15),$R$5,IF(AND(C84&gt;=$S$6,H84&gt;0.15),$R$6,IF(AND(C84&gt;=$S$7,H84=0.15),$R$7,IF(AND(C84&gt;=$S$8,H84&gt;0.15),$R$8,#REF!)))))</f>
        <v>1</v>
      </c>
      <c r="H84" s="28">
        <v>0.3</v>
      </c>
      <c r="I84" s="17" t="str">
        <f t="shared" si="13"/>
        <v>&gt;35%</v>
      </c>
      <c r="J84" s="29"/>
      <c r="K84" s="30">
        <f t="shared" si="14"/>
        <v>0.7</v>
      </c>
      <c r="M84" s="56" t="str">
        <f t="shared" si="15"/>
        <v/>
      </c>
      <c r="N84" s="56" t="str">
        <f t="shared" si="16"/>
        <v>No</v>
      </c>
      <c r="O84" s="56" t="str">
        <f t="shared" si="17"/>
        <v/>
      </c>
    </row>
    <row r="85" spans="1:15" x14ac:dyDescent="0.2">
      <c r="A85" s="13" t="s">
        <v>160</v>
      </c>
      <c r="B85" s="14" t="str">
        <f>IFERROR(VLOOKUP(A85,'County Contribution Actual'!$B$3:$D$36,2,FALSE),"No")</f>
        <v>yes</v>
      </c>
      <c r="C85" s="43">
        <f>VLOOKUP(A85,'County Funding Level '!$A$2:$B$102,2,FALSE)</f>
        <v>17677626</v>
      </c>
      <c r="D85" s="15">
        <f>IFERROR(VLOOKUP(A85,'County Contribution Actual'!$B$3:$D$36,3,FALSE),"No")</f>
        <v>1800000</v>
      </c>
      <c r="E85" s="15" t="str">
        <f t="shared" si="12"/>
        <v>NA</v>
      </c>
      <c r="G85" s="37">
        <f>IF(C85&gt;=$S$4,$R$4,IF(AND(C85&gt;=$S$5,H85=0.15),$R$5,IF(AND(C85&gt;=$S$6,H85&gt;0.15),$R$6,IF(AND(C85&gt;=$S$7,H85=0.15),$R$7,IF(AND(C85&gt;=$S$8,H85&gt;0.15),$R$8,#REF!)))))</f>
        <v>1</v>
      </c>
      <c r="H85" s="28">
        <v>0.3</v>
      </c>
      <c r="I85" s="17" t="str">
        <f t="shared" si="13"/>
        <v>&gt;35%</v>
      </c>
      <c r="J85" s="29"/>
      <c r="K85" s="30">
        <f t="shared" si="14"/>
        <v>0.7</v>
      </c>
      <c r="M85" s="56" t="str">
        <f t="shared" si="15"/>
        <v/>
      </c>
      <c r="N85" s="56">
        <f t="shared" si="16"/>
        <v>1800000</v>
      </c>
      <c r="O85" s="56" t="str">
        <f t="shared" si="17"/>
        <v/>
      </c>
    </row>
    <row r="86" spans="1:15" x14ac:dyDescent="0.2">
      <c r="A86" s="13" t="s">
        <v>161</v>
      </c>
      <c r="B86" s="14" t="str">
        <f>IFERROR(VLOOKUP(A86,'County Contribution Actual'!$B$3:$D$36,2,FALSE),"No")</f>
        <v>No</v>
      </c>
      <c r="C86" s="43">
        <f>VLOOKUP(A86,'County Funding Level '!$A$2:$B$102,2,FALSE)</f>
        <v>27598928</v>
      </c>
      <c r="D86" s="15" t="str">
        <f>IFERROR(VLOOKUP(A86,'County Contribution Actual'!$B$3:$D$36,3,FALSE),"No")</f>
        <v>No</v>
      </c>
      <c r="E86" s="15" t="str">
        <f t="shared" si="12"/>
        <v>NA</v>
      </c>
      <c r="G86" s="37">
        <f>IF(C86&gt;=$S$4,$R$4,IF(AND(C86&gt;=$S$5,H86=0.15),$R$5,IF(AND(C86&gt;=$S$6,H86&gt;0.15),$R$6,IF(AND(C86&gt;=$S$7,H86=0.15),$R$7,IF(AND(C86&gt;=$S$8,H86&gt;0.15),$R$8,#REF!)))))</f>
        <v>1</v>
      </c>
      <c r="H86" s="28">
        <v>0.3</v>
      </c>
      <c r="I86" s="17" t="str">
        <f t="shared" si="13"/>
        <v>&gt;35%</v>
      </c>
      <c r="J86" s="29"/>
      <c r="K86" s="30">
        <f t="shared" si="14"/>
        <v>0.7</v>
      </c>
      <c r="M86" s="56" t="str">
        <f t="shared" si="15"/>
        <v/>
      </c>
      <c r="N86" s="56" t="str">
        <f t="shared" si="16"/>
        <v>No</v>
      </c>
      <c r="O86" s="56" t="str">
        <f t="shared" si="17"/>
        <v/>
      </c>
    </row>
    <row r="87" spans="1:15" x14ac:dyDescent="0.2">
      <c r="A87" s="13" t="s">
        <v>162</v>
      </c>
      <c r="B87" s="14" t="str">
        <f>IFERROR(VLOOKUP(A87,'County Contribution Actual'!$B$3:$D$36,2,FALSE),"No")</f>
        <v>No</v>
      </c>
      <c r="C87" s="43">
        <f>VLOOKUP(A87,'County Funding Level '!$A$2:$B$102,2,FALSE)</f>
        <v>13019597</v>
      </c>
      <c r="D87" s="15" t="str">
        <f>IFERROR(VLOOKUP(A87,'County Contribution Actual'!$B$3:$D$36,3,FALSE),"No")</f>
        <v>No</v>
      </c>
      <c r="E87" s="15" t="str">
        <f t="shared" si="12"/>
        <v>NA</v>
      </c>
      <c r="G87" s="37">
        <f>IF(C87&gt;=$S$4,$R$4,IF(AND(C87&gt;=$S$5,H87=0.15),$R$5,IF(AND(C87&gt;=$S$6,H87&gt;0.15),$R$6,IF(AND(C87&gt;=$S$7,H87=0.15),$R$7,IF(AND(C87&gt;=$S$8,H87&gt;0.15),$R$8,#REF!)))))</f>
        <v>1</v>
      </c>
      <c r="H87" s="28">
        <v>0.3</v>
      </c>
      <c r="I87" s="17" t="str">
        <f t="shared" si="13"/>
        <v>&gt;35%</v>
      </c>
      <c r="J87" s="29"/>
      <c r="K87" s="30">
        <f t="shared" si="14"/>
        <v>0.7</v>
      </c>
      <c r="M87" s="56" t="str">
        <f t="shared" si="15"/>
        <v/>
      </c>
      <c r="N87" s="56" t="str">
        <f t="shared" si="16"/>
        <v>No</v>
      </c>
      <c r="O87" s="56" t="str">
        <f t="shared" si="17"/>
        <v/>
      </c>
    </row>
    <row r="88" spans="1:15" x14ac:dyDescent="0.2">
      <c r="A88" s="13" t="s">
        <v>163</v>
      </c>
      <c r="B88" s="14" t="str">
        <f>IFERROR(VLOOKUP(A88,'County Contribution Actual'!$B$3:$D$36,2,FALSE),"No")</f>
        <v>No</v>
      </c>
      <c r="C88" s="43">
        <f>VLOOKUP(A88,'County Funding Level '!$A$2:$B$102,2,FALSE)</f>
        <v>12340152</v>
      </c>
      <c r="D88" s="15" t="str">
        <f>IFERROR(VLOOKUP(A88,'County Contribution Actual'!$B$3:$D$36,3,FALSE),"No")</f>
        <v>No</v>
      </c>
      <c r="E88" s="15" t="str">
        <f t="shared" si="12"/>
        <v>NA</v>
      </c>
      <c r="G88" s="37">
        <f>IF(C88&gt;=$S$4,$R$4,IF(AND(C88&gt;=$S$5,H88=0.15),$R$5,IF(AND(C88&gt;=$S$6,H88&gt;0.15),$R$6,IF(AND(C88&gt;=$S$7,H88=0.15),$R$7,IF(AND(C88&gt;=$S$8,H88&gt;0.15),$R$8,#REF!)))))</f>
        <v>1</v>
      </c>
      <c r="H88" s="28">
        <v>0.3</v>
      </c>
      <c r="I88" s="17" t="str">
        <f t="shared" si="13"/>
        <v>&gt;35%</v>
      </c>
      <c r="J88" s="29"/>
      <c r="K88" s="30">
        <f t="shared" si="14"/>
        <v>0.7</v>
      </c>
      <c r="M88" s="56" t="str">
        <f t="shared" si="15"/>
        <v/>
      </c>
      <c r="N88" s="56" t="str">
        <f t="shared" si="16"/>
        <v>No</v>
      </c>
      <c r="O88" s="56" t="str">
        <f t="shared" si="17"/>
        <v/>
      </c>
    </row>
    <row r="89" spans="1:15" x14ac:dyDescent="0.2">
      <c r="A89" s="13" t="s">
        <v>164</v>
      </c>
      <c r="B89" s="14" t="str">
        <f>IFERROR(VLOOKUP(A89,'County Contribution Actual'!$B$3:$D$36,2,FALSE),"No")</f>
        <v>No</v>
      </c>
      <c r="C89" s="43">
        <f>VLOOKUP(A89,'County Funding Level '!$A$2:$B$102,2,FALSE)</f>
        <v>6763960</v>
      </c>
      <c r="D89" s="15" t="str">
        <f>IFERROR(VLOOKUP(A89,'County Contribution Actual'!$B$3:$D$36,3,FALSE),"No")</f>
        <v>No</v>
      </c>
      <c r="E89" s="15" t="str">
        <f t="shared" si="12"/>
        <v>NA</v>
      </c>
      <c r="G89" s="37">
        <f>IF(C89&gt;=$S$4,$R$4,IF(AND(C89&gt;=$S$5,H89=0.15),$R$5,IF(AND(C89&gt;=$S$6,H89&gt;0.15),$R$6,IF(AND(C89&gt;=$S$7,H89=0.15),$R$7,IF(AND(C89&gt;=$S$8,H89&gt;0.15),$R$8,#REF!)))))</f>
        <v>3</v>
      </c>
      <c r="H89" s="28">
        <v>0.3</v>
      </c>
      <c r="I89" s="17" t="str">
        <f t="shared" si="13"/>
        <v>50% of Remaining, no input required</v>
      </c>
      <c r="J89" s="29"/>
      <c r="K89" s="30">
        <f t="shared" si="14"/>
        <v>0.7</v>
      </c>
      <c r="M89" s="56" t="str">
        <f t="shared" si="15"/>
        <v/>
      </c>
      <c r="N89" s="56" t="str">
        <f t="shared" si="16"/>
        <v>No</v>
      </c>
      <c r="O89" s="56" t="str">
        <f t="shared" si="17"/>
        <v/>
      </c>
    </row>
    <row r="90" spans="1:15" x14ac:dyDescent="0.2">
      <c r="A90" s="13" t="s">
        <v>165</v>
      </c>
      <c r="B90" s="14" t="str">
        <f>IFERROR(VLOOKUP(A90,'County Contribution Actual'!$B$3:$D$36,2,FALSE),"No")</f>
        <v>No</v>
      </c>
      <c r="C90" s="43">
        <f>VLOOKUP(A90,'County Funding Level '!$A$2:$B$102,2,FALSE)</f>
        <v>8855517</v>
      </c>
      <c r="D90" s="15" t="str">
        <f>IFERROR(VLOOKUP(A90,'County Contribution Actual'!$B$3:$D$36,3,FALSE),"No")</f>
        <v>No</v>
      </c>
      <c r="E90" s="15" t="str">
        <f t="shared" si="12"/>
        <v>NA</v>
      </c>
      <c r="G90" s="37">
        <f>IF(C90&gt;=$S$4,$R$4,IF(AND(C90&gt;=$S$5,H90=0.15),$R$5,IF(AND(C90&gt;=$S$6,H90&gt;0.15),$R$6,IF(AND(C90&gt;=$S$7,H90=0.15),$R$7,IF(AND(C90&gt;=$S$8,H90&gt;0.15),$R$8,#REF!)))))</f>
        <v>1</v>
      </c>
      <c r="H90" s="28">
        <v>0.3</v>
      </c>
      <c r="I90" s="17" t="str">
        <f t="shared" si="13"/>
        <v>&gt;35%</v>
      </c>
      <c r="J90" s="29"/>
      <c r="K90" s="30">
        <f t="shared" si="14"/>
        <v>0.7</v>
      </c>
      <c r="M90" s="56" t="str">
        <f t="shared" si="15"/>
        <v/>
      </c>
      <c r="N90" s="56" t="str">
        <f t="shared" si="16"/>
        <v>No</v>
      </c>
      <c r="O90" s="56" t="str">
        <f t="shared" si="17"/>
        <v/>
      </c>
    </row>
    <row r="91" spans="1:15" x14ac:dyDescent="0.2">
      <c r="A91" s="13" t="s">
        <v>166</v>
      </c>
      <c r="B91" s="14" t="str">
        <f>IFERROR(VLOOKUP(A91,'County Contribution Actual'!$B$3:$D$36,2,FALSE),"No")</f>
        <v>No</v>
      </c>
      <c r="C91" s="43">
        <f>VLOOKUP(A91,'County Funding Level '!$A$2:$B$102,2,FALSE)</f>
        <v>13943006</v>
      </c>
      <c r="D91" s="15" t="str">
        <f>IFERROR(VLOOKUP(A91,'County Contribution Actual'!$B$3:$D$36,3,FALSE),"No")</f>
        <v>No</v>
      </c>
      <c r="E91" s="15" t="str">
        <f t="shared" si="12"/>
        <v>NA</v>
      </c>
      <c r="G91" s="37">
        <f>IF(C91&gt;=$S$4,$R$4,IF(AND(C91&gt;=$S$5,H91=0.15),$R$5,IF(AND(C91&gt;=$S$6,H91&gt;0.15),$R$6,IF(AND(C91&gt;=$S$7,H91=0.15),$R$7,IF(AND(C91&gt;=$S$8,H91&gt;0.15),$R$8,#REF!)))))</f>
        <v>1</v>
      </c>
      <c r="H91" s="28">
        <v>0.3</v>
      </c>
      <c r="I91" s="17" t="str">
        <f t="shared" si="13"/>
        <v>&gt;35%</v>
      </c>
      <c r="J91" s="29"/>
      <c r="K91" s="30">
        <f t="shared" si="14"/>
        <v>0.7</v>
      </c>
      <c r="M91" s="56" t="str">
        <f t="shared" si="15"/>
        <v/>
      </c>
      <c r="N91" s="56" t="str">
        <f t="shared" si="16"/>
        <v>No</v>
      </c>
      <c r="O91" s="56" t="str">
        <f t="shared" si="17"/>
        <v/>
      </c>
    </row>
    <row r="92" spans="1:15" x14ac:dyDescent="0.2">
      <c r="A92" s="13" t="s">
        <v>167</v>
      </c>
      <c r="B92" s="14" t="str">
        <f>IFERROR(VLOOKUP(A92,'County Contribution Actual'!$B$3:$D$36,2,FALSE),"No")</f>
        <v>No</v>
      </c>
      <c r="C92" s="43">
        <f>VLOOKUP(A92,'County Funding Level '!$A$2:$B$102,2,FALSE)</f>
        <v>6678883</v>
      </c>
      <c r="D92" s="15" t="str">
        <f>IFERROR(VLOOKUP(A92,'County Contribution Actual'!$B$3:$D$36,3,FALSE),"No")</f>
        <v>No</v>
      </c>
      <c r="E92" s="15" t="str">
        <f t="shared" si="12"/>
        <v>NA</v>
      </c>
      <c r="G92" s="37">
        <f>IF(C92&gt;=$S$4,$R$4,IF(AND(C92&gt;=$S$5,H92=0.15),$R$5,IF(AND(C92&gt;=$S$6,H92&gt;0.15),$R$6,IF(AND(C92&gt;=$S$7,H92=0.15),$R$7,IF(AND(C92&gt;=$S$8,H92&gt;0.15),$R$8,#REF!)))))</f>
        <v>3</v>
      </c>
      <c r="H92" s="28">
        <v>0.3</v>
      </c>
      <c r="I92" s="17" t="str">
        <f t="shared" si="13"/>
        <v>50% of Remaining, no input required</v>
      </c>
      <c r="J92" s="29"/>
      <c r="K92" s="30">
        <f t="shared" si="14"/>
        <v>0.7</v>
      </c>
      <c r="M92" s="56" t="str">
        <f t="shared" si="15"/>
        <v/>
      </c>
      <c r="N92" s="56" t="str">
        <f t="shared" si="16"/>
        <v>No</v>
      </c>
      <c r="O92" s="56" t="str">
        <f t="shared" si="17"/>
        <v/>
      </c>
    </row>
    <row r="93" spans="1:15" x14ac:dyDescent="0.2">
      <c r="A93" s="13" t="s">
        <v>168</v>
      </c>
      <c r="B93" s="14" t="str">
        <f>IFERROR(VLOOKUP(A93,'County Contribution Actual'!$B$3:$D$36,2,FALSE),"No")</f>
        <v>No</v>
      </c>
      <c r="C93" s="43">
        <f>VLOOKUP(A93,'County Funding Level '!$A$2:$B$102,2,FALSE)</f>
        <v>780061</v>
      </c>
      <c r="D93" s="15" t="str">
        <f>IFERROR(VLOOKUP(A93,'County Contribution Actual'!$B$3:$D$36,3,FALSE),"No")</f>
        <v>No</v>
      </c>
      <c r="E93" s="15" t="str">
        <f t="shared" si="12"/>
        <v>NA</v>
      </c>
      <c r="G93" s="37">
        <f>IF(C93&gt;=$S$4,$R$4,IF(AND(C93&gt;=$S$5,H93=0.15),$R$5,IF(AND(C93&gt;=$S$6,H93&gt;0.15),$R$6,IF(AND(C93&gt;=$S$7,H93=0.15),$R$7,IF(AND(C93&gt;=$S$8,H93&gt;0.15),$R$8,#REF!)))))</f>
        <v>5</v>
      </c>
      <c r="H93" s="28">
        <v>0.3</v>
      </c>
      <c r="I93" s="17" t="str">
        <f t="shared" si="13"/>
        <v>50% of Remaining, no input required</v>
      </c>
      <c r="J93" s="29"/>
      <c r="K93" s="30">
        <f t="shared" si="14"/>
        <v>0.7</v>
      </c>
      <c r="M93" s="56" t="str">
        <f t="shared" si="15"/>
        <v/>
      </c>
      <c r="N93" s="56" t="str">
        <f t="shared" si="16"/>
        <v>No</v>
      </c>
      <c r="O93" s="56" t="str">
        <f t="shared" si="17"/>
        <v/>
      </c>
    </row>
    <row r="94" spans="1:15" x14ac:dyDescent="0.2">
      <c r="A94" s="13" t="s">
        <v>169</v>
      </c>
      <c r="B94" s="14" t="str">
        <f>IFERROR(VLOOKUP(A94,'County Contribution Actual'!$B$3:$D$36,2,FALSE),"No")</f>
        <v>No</v>
      </c>
      <c r="C94" s="43">
        <f>VLOOKUP(A94,'County Funding Level '!$A$2:$B$102,2,FALSE)</f>
        <v>8650402</v>
      </c>
      <c r="D94" s="15" t="str">
        <f>IFERROR(VLOOKUP(A94,'County Contribution Actual'!$B$3:$D$36,3,FALSE),"No")</f>
        <v>No</v>
      </c>
      <c r="E94" s="15" t="str">
        <f t="shared" si="12"/>
        <v>NA</v>
      </c>
      <c r="G94" s="37">
        <f>IF(C94&gt;=$S$4,$R$4,IF(AND(C94&gt;=$S$5,H94=0.15),$R$5,IF(AND(C94&gt;=$S$6,H94&gt;0.15),$R$6,IF(AND(C94&gt;=$S$7,H94=0.15),$R$7,IF(AND(C94&gt;=$S$8,H94&gt;0.15),$R$8,#REF!)))))</f>
        <v>1</v>
      </c>
      <c r="H94" s="28">
        <v>0.3</v>
      </c>
      <c r="I94" s="17" t="str">
        <f t="shared" si="13"/>
        <v>&gt;35%</v>
      </c>
      <c r="J94" s="29"/>
      <c r="K94" s="30">
        <f t="shared" si="14"/>
        <v>0.7</v>
      </c>
      <c r="M94" s="56" t="str">
        <f t="shared" si="15"/>
        <v/>
      </c>
      <c r="N94" s="56" t="str">
        <f t="shared" si="16"/>
        <v>No</v>
      </c>
      <c r="O94" s="56" t="str">
        <f t="shared" si="17"/>
        <v/>
      </c>
    </row>
    <row r="95" spans="1:15" x14ac:dyDescent="0.2">
      <c r="A95" s="13" t="s">
        <v>170</v>
      </c>
      <c r="B95" s="14" t="str">
        <f>IFERROR(VLOOKUP(A95,'County Contribution Actual'!$B$3:$D$36,2,FALSE),"No")</f>
        <v>No</v>
      </c>
      <c r="C95" s="43">
        <f>VLOOKUP(A95,'County Funding Level '!$A$2:$B$102,2,FALSE)</f>
        <v>3832515</v>
      </c>
      <c r="D95" s="15" t="str">
        <f>IFERROR(VLOOKUP(A95,'County Contribution Actual'!$B$3:$D$36,3,FALSE),"No")</f>
        <v>No</v>
      </c>
      <c r="E95" s="15" t="str">
        <f t="shared" si="12"/>
        <v>NA</v>
      </c>
      <c r="G95" s="37">
        <f>IF(C95&gt;=$S$4,$R$4,IF(AND(C95&gt;=$S$5,H95=0.15),$R$5,IF(AND(C95&gt;=$S$6,H95&gt;0.15),$R$6,IF(AND(C95&gt;=$S$7,H95=0.15),$R$7,IF(AND(C95&gt;=$S$8,H95&gt;0.15),$R$8,#REF!)))))</f>
        <v>5</v>
      </c>
      <c r="H95" s="28">
        <v>0.3</v>
      </c>
      <c r="I95" s="17" t="str">
        <f t="shared" si="13"/>
        <v>50% of Remaining, no input required</v>
      </c>
      <c r="J95" s="29"/>
      <c r="K95" s="30">
        <f t="shared" si="14"/>
        <v>0.7</v>
      </c>
      <c r="M95" s="56" t="str">
        <f t="shared" si="15"/>
        <v/>
      </c>
      <c r="N95" s="56" t="str">
        <f t="shared" si="16"/>
        <v>No</v>
      </c>
      <c r="O95" s="56" t="str">
        <f t="shared" si="17"/>
        <v/>
      </c>
    </row>
    <row r="96" spans="1:15" x14ac:dyDescent="0.2">
      <c r="A96" s="13" t="s">
        <v>171</v>
      </c>
      <c r="B96" s="14" t="str">
        <f>IFERROR(VLOOKUP(A96,'County Contribution Actual'!$B$3:$D$36,2,FALSE),"No")</f>
        <v>No</v>
      </c>
      <c r="C96" s="43">
        <f>VLOOKUP(A96,'County Funding Level '!$A$2:$B$102,2,FALSE)</f>
        <v>2249279</v>
      </c>
      <c r="D96" s="15" t="str">
        <f>IFERROR(VLOOKUP(A96,'County Contribution Actual'!$B$3:$D$36,3,FALSE),"No")</f>
        <v>No</v>
      </c>
      <c r="E96" s="15" t="str">
        <f t="shared" si="12"/>
        <v>NA</v>
      </c>
      <c r="G96" s="37">
        <f>IF(C96&gt;=$S$4,$R$4,IF(AND(C96&gt;=$S$5,H96=0.15),$R$5,IF(AND(C96&gt;=$S$6,H96&gt;0.15),$R$6,IF(AND(C96&gt;=$S$7,H96=0.15),$R$7,IF(AND(C96&gt;=$S$8,H96&gt;0.15),$R$8,#REF!)))))</f>
        <v>5</v>
      </c>
      <c r="H96" s="28">
        <v>0.3</v>
      </c>
      <c r="I96" s="17" t="str">
        <f t="shared" si="13"/>
        <v>50% of Remaining, no input required</v>
      </c>
      <c r="J96" s="29"/>
      <c r="K96" s="30">
        <f t="shared" si="14"/>
        <v>0.7</v>
      </c>
      <c r="M96" s="56" t="str">
        <f t="shared" si="15"/>
        <v/>
      </c>
      <c r="N96" s="56" t="str">
        <f t="shared" si="16"/>
        <v>No</v>
      </c>
      <c r="O96" s="56" t="str">
        <f t="shared" si="17"/>
        <v/>
      </c>
    </row>
    <row r="97" spans="1:15" x14ac:dyDescent="0.2">
      <c r="A97" s="13" t="s">
        <v>172</v>
      </c>
      <c r="B97" s="14" t="str">
        <f>IFERROR(VLOOKUP(A97,'County Contribution Actual'!$B$3:$D$36,2,FALSE),"No")</f>
        <v>No</v>
      </c>
      <c r="C97" s="43">
        <f>VLOOKUP(A97,'County Funding Level '!$A$2:$B$102,2,FALSE)</f>
        <v>10911724</v>
      </c>
      <c r="D97" s="15" t="str">
        <f>IFERROR(VLOOKUP(A97,'County Contribution Actual'!$B$3:$D$36,3,FALSE),"No")</f>
        <v>No</v>
      </c>
      <c r="E97" s="15" t="str">
        <f t="shared" si="12"/>
        <v>NA</v>
      </c>
      <c r="G97" s="37">
        <f>IF(C97&gt;=$S$4,$R$4,IF(AND(C97&gt;=$S$5,H97=0.15),$R$5,IF(AND(C97&gt;=$S$6,H97&gt;0.15),$R$6,IF(AND(C97&gt;=$S$7,H97=0.15),$R$7,IF(AND(C97&gt;=$S$8,H97&gt;0.15),$R$8,#REF!)))))</f>
        <v>1</v>
      </c>
      <c r="H97" s="28">
        <v>0.3</v>
      </c>
      <c r="I97" s="17" t="str">
        <f t="shared" si="13"/>
        <v>&gt;35%</v>
      </c>
      <c r="J97" s="29"/>
      <c r="K97" s="30">
        <f t="shared" si="14"/>
        <v>0.7</v>
      </c>
      <c r="M97" s="56" t="str">
        <f t="shared" si="15"/>
        <v/>
      </c>
      <c r="N97" s="56" t="str">
        <f t="shared" si="16"/>
        <v>No</v>
      </c>
      <c r="O97" s="56" t="str">
        <f t="shared" si="17"/>
        <v/>
      </c>
    </row>
    <row r="98" spans="1:15" x14ac:dyDescent="0.2">
      <c r="A98" s="13" t="s">
        <v>173</v>
      </c>
      <c r="B98" s="14" t="str">
        <f>IFERROR(VLOOKUP(A98,'County Contribution Actual'!$B$3:$D$36,2,FALSE),"No")</f>
        <v>No</v>
      </c>
      <c r="C98" s="43">
        <f>VLOOKUP(A98,'County Funding Level '!$A$2:$B$102,2,FALSE)</f>
        <v>23916753</v>
      </c>
      <c r="D98" s="15" t="str">
        <f>IFERROR(VLOOKUP(A98,'County Contribution Actual'!$B$3:$D$36,3,FALSE),"No")</f>
        <v>No</v>
      </c>
      <c r="E98" s="15" t="str">
        <f t="shared" si="12"/>
        <v>NA</v>
      </c>
      <c r="G98" s="37">
        <f>IF(C98&gt;=$S$4,$R$4,IF(AND(C98&gt;=$S$5,H98=0.15),$R$5,IF(AND(C98&gt;=$S$6,H98&gt;0.15),$R$6,IF(AND(C98&gt;=$S$7,H98=0.15),$R$7,IF(AND(C98&gt;=$S$8,H98&gt;0.15),$R$8,#REF!)))))</f>
        <v>1</v>
      </c>
      <c r="H98" s="28">
        <v>0.3</v>
      </c>
      <c r="I98" s="17" t="str">
        <f t="shared" si="13"/>
        <v>&gt;35%</v>
      </c>
      <c r="J98" s="29"/>
      <c r="K98" s="30">
        <f t="shared" si="14"/>
        <v>0.7</v>
      </c>
      <c r="M98" s="56" t="str">
        <f t="shared" si="15"/>
        <v/>
      </c>
      <c r="N98" s="56" t="str">
        <f t="shared" si="16"/>
        <v>No</v>
      </c>
      <c r="O98" s="56" t="str">
        <f t="shared" si="17"/>
        <v/>
      </c>
    </row>
    <row r="99" spans="1:15" x14ac:dyDescent="0.2">
      <c r="A99" s="13" t="s">
        <v>174</v>
      </c>
      <c r="B99" s="14" t="str">
        <f>IFERROR(VLOOKUP(A99,'County Contribution Actual'!$B$3:$D$36,2,FALSE),"No")</f>
        <v>No</v>
      </c>
      <c r="C99" s="43">
        <f>VLOOKUP(A99,'County Funding Level '!$A$2:$B$102,2,FALSE)</f>
        <v>13288229</v>
      </c>
      <c r="D99" s="15" t="str">
        <f>IFERROR(VLOOKUP(A99,'County Contribution Actual'!$B$3:$D$36,3,FALSE),"No")</f>
        <v>No</v>
      </c>
      <c r="E99" s="15" t="str">
        <f t="shared" ref="E99:E102" si="18">IFERROR(D99/J99,"NA")</f>
        <v>NA</v>
      </c>
      <c r="G99" s="37">
        <f>IF(C99&gt;=$S$4,$R$4,IF(AND(C99&gt;=$S$5,H99=0.15),$R$5,IF(AND(C99&gt;=$S$6,H99&gt;0.15),$R$6,IF(AND(C99&gt;=$S$7,H99=0.15),$R$7,IF(AND(C99&gt;=$S$8,H99&gt;0.15),$R$8,#REF!)))))</f>
        <v>1</v>
      </c>
      <c r="H99" s="28">
        <v>0.3</v>
      </c>
      <c r="I99" s="17" t="str">
        <f t="shared" si="13"/>
        <v>&gt;35%</v>
      </c>
      <c r="J99" s="29"/>
      <c r="K99" s="30">
        <f t="shared" ref="K99:K102" si="19">1-H99-J99</f>
        <v>0.7</v>
      </c>
      <c r="M99" s="56" t="str">
        <f t="shared" si="15"/>
        <v/>
      </c>
      <c r="N99" s="56" t="str">
        <f t="shared" si="16"/>
        <v>No</v>
      </c>
      <c r="O99" s="56" t="str">
        <f t="shared" ref="O99:O102" si="20">IFERROR(E99-M99-N99,"")</f>
        <v/>
      </c>
    </row>
    <row r="100" spans="1:15" x14ac:dyDescent="0.2">
      <c r="A100" s="13" t="s">
        <v>175</v>
      </c>
      <c r="B100" s="14" t="str">
        <f>IFERROR(VLOOKUP(A100,'County Contribution Actual'!$B$3:$D$36,2,FALSE),"No")</f>
        <v>No</v>
      </c>
      <c r="C100" s="43">
        <f>VLOOKUP(A100,'County Funding Level '!$A$2:$B$102,2,FALSE)</f>
        <v>15888885</v>
      </c>
      <c r="D100" s="15" t="str">
        <f>IFERROR(VLOOKUP(A100,'County Contribution Actual'!$B$3:$D$36,3,FALSE),"No")</f>
        <v>No</v>
      </c>
      <c r="E100" s="15" t="str">
        <f t="shared" si="18"/>
        <v>NA</v>
      </c>
      <c r="G100" s="37">
        <f>IF(C100&gt;=$S$4,$R$4,IF(AND(C100&gt;=$S$5,H100=0.15),$R$5,IF(AND(C100&gt;=$S$6,H100&gt;0.15),$R$6,IF(AND(C100&gt;=$S$7,H100=0.15),$R$7,IF(AND(C100&gt;=$S$8,H100&gt;0.15),$R$8,#REF!)))))</f>
        <v>1</v>
      </c>
      <c r="H100" s="28">
        <v>0.3</v>
      </c>
      <c r="I100" s="17" t="str">
        <f t="shared" si="13"/>
        <v>&gt;35%</v>
      </c>
      <c r="J100" s="29"/>
      <c r="K100" s="30">
        <f t="shared" si="19"/>
        <v>0.7</v>
      </c>
      <c r="M100" s="56" t="str">
        <f t="shared" si="15"/>
        <v/>
      </c>
      <c r="N100" s="56" t="str">
        <f t="shared" si="16"/>
        <v>No</v>
      </c>
      <c r="O100" s="56" t="str">
        <f t="shared" si="20"/>
        <v/>
      </c>
    </row>
    <row r="101" spans="1:15" x14ac:dyDescent="0.2">
      <c r="A101" s="13" t="s">
        <v>176</v>
      </c>
      <c r="B101" s="14" t="str">
        <f>IFERROR(VLOOKUP(A101,'County Contribution Actual'!$B$3:$D$36,2,FALSE),"No")</f>
        <v>No</v>
      </c>
      <c r="C101" s="43">
        <f>VLOOKUP(A101,'County Funding Level '!$A$2:$B$102,2,FALSE)</f>
        <v>7316373</v>
      </c>
      <c r="D101" s="15" t="str">
        <f>IFERROR(VLOOKUP(A101,'County Contribution Actual'!$B$3:$D$36,3,FALSE),"No")</f>
        <v>No</v>
      </c>
      <c r="E101" s="15" t="str">
        <f t="shared" si="18"/>
        <v>NA</v>
      </c>
      <c r="G101" s="37">
        <f>IF(C101&gt;=$S$4,$R$4,IF(AND(C101&gt;=$S$5,H101=0.15),$R$5,IF(AND(C101&gt;=$S$6,H101&gt;0.15),$R$6,IF(AND(C101&gt;=$S$7,H101=0.15),$R$7,IF(AND(C101&gt;=$S$8,H101&gt;0.15),$R$8,#REF!)))))</f>
        <v>3</v>
      </c>
      <c r="H101" s="28">
        <v>0.3</v>
      </c>
      <c r="I101" s="17" t="str">
        <f t="shared" si="13"/>
        <v>50% of Remaining, no input required</v>
      </c>
      <c r="J101" s="29"/>
      <c r="K101" s="30">
        <f t="shared" si="19"/>
        <v>0.7</v>
      </c>
      <c r="M101" s="56" t="str">
        <f t="shared" si="15"/>
        <v/>
      </c>
      <c r="N101" s="56" t="str">
        <f t="shared" si="16"/>
        <v>No</v>
      </c>
      <c r="O101" s="56" t="str">
        <f t="shared" si="20"/>
        <v/>
      </c>
    </row>
    <row r="102" spans="1:15" x14ac:dyDescent="0.2">
      <c r="A102" s="13" t="s">
        <v>177</v>
      </c>
      <c r="B102" s="14" t="str">
        <f>IFERROR(VLOOKUP(A102,'County Contribution Actual'!$B$3:$D$36,2,FALSE),"No")</f>
        <v>No</v>
      </c>
      <c r="C102" s="43">
        <f>VLOOKUP(A102,'County Funding Level '!$A$2:$B$102,2,FALSE)</f>
        <v>3509691</v>
      </c>
      <c r="D102" s="15" t="str">
        <f>IFERROR(VLOOKUP(A102,'County Contribution Actual'!$B$3:$D$36,3,FALSE),"No")</f>
        <v>No</v>
      </c>
      <c r="E102" s="15" t="str">
        <f t="shared" si="18"/>
        <v>NA</v>
      </c>
      <c r="G102" s="37">
        <f>IF(C102&gt;=$S$4,$R$4,IF(AND(C102&gt;=$S$5,H102=0.15),$R$5,IF(AND(C102&gt;=$S$6,H102&gt;0.15),$R$6,IF(AND(C102&gt;=$S$7,H102=0.15),$R$7,IF(AND(C102&gt;=$S$8,H102&gt;0.15),$R$8,#REF!)))))</f>
        <v>5</v>
      </c>
      <c r="H102" s="28">
        <v>0.3</v>
      </c>
      <c r="I102" s="17" t="str">
        <f t="shared" si="13"/>
        <v>50% of Remaining, no input required</v>
      </c>
      <c r="J102" s="29"/>
      <c r="K102" s="30">
        <f t="shared" si="19"/>
        <v>0.7</v>
      </c>
      <c r="M102" s="56" t="str">
        <f t="shared" si="15"/>
        <v/>
      </c>
      <c r="N102" s="56" t="str">
        <f t="shared" si="16"/>
        <v>No</v>
      </c>
      <c r="O102" s="56" t="str">
        <f t="shared" si="20"/>
        <v/>
      </c>
    </row>
    <row r="103" spans="1:15" x14ac:dyDescent="0.2">
      <c r="B103" s="1"/>
      <c r="C103" s="1"/>
    </row>
  </sheetData>
  <autoFilter ref="A2:O102" xr:uid="{AA0465C4-FDB1-4CAC-8452-72D7C367ACF4}">
    <sortState xmlns:xlrd2="http://schemas.microsoft.com/office/spreadsheetml/2017/richdata2" ref="A3:O102">
      <sortCondition descending="1" ref="B2:B102"/>
    </sortState>
  </autoFilter>
  <mergeCells count="5">
    <mergeCell ref="A1:D1"/>
    <mergeCell ref="R2:R3"/>
    <mergeCell ref="S2:T2"/>
    <mergeCell ref="U2:W2"/>
    <mergeCell ref="Q2:Q3"/>
  </mergeCells>
  <dataValidations count="1">
    <dataValidation type="decimal" allowBlank="1" showInputMessage="1" showErrorMessage="1" sqref="H3:H102" xr:uid="{90070A42-1AB3-49B5-A035-395DF9CF8A21}">
      <formula1>0.15</formula1>
      <formula2>0.3</formula2>
    </dataValidation>
  </dataValidations>
  <hyperlinks>
    <hyperlink ref="S1" r:id="rId1" xr:uid="{35638AE6-5685-4BF6-B687-E10CD752E3BB}"/>
  </hyperlinks>
  <pageMargins left="0.7" right="0.7" top="0.75" bottom="0.75" header="0.3" footer="0.3"/>
  <pageSetup orientation="portrait"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9BAA-5214-4283-AE85-82C1864C4331}">
  <sheetPr codeName="Sheet7"/>
  <dimension ref="A1:M101"/>
  <sheetViews>
    <sheetView showGridLines="0" workbookViewId="0">
      <selection activeCell="C2" sqref="C2"/>
    </sheetView>
  </sheetViews>
  <sheetFormatPr defaultColWidth="0" defaultRowHeight="15" x14ac:dyDescent="0.25"/>
  <cols>
    <col min="1" max="1" width="18.85546875" bestFit="1" customWidth="1"/>
    <col min="2" max="2" width="15.85546875" customWidth="1"/>
    <col min="3" max="3" width="25.85546875" style="5" bestFit="1" customWidth="1"/>
    <col min="4" max="4" width="10.85546875" style="5" customWidth="1"/>
    <col min="5" max="5" width="30" bestFit="1" customWidth="1"/>
    <col min="6" max="6" width="16.5703125" bestFit="1" customWidth="1"/>
    <col min="7" max="7" width="8.42578125" bestFit="1" customWidth="1"/>
    <col min="8" max="8" width="3.5703125" customWidth="1"/>
    <col min="9" max="9" width="27.140625" bestFit="1" customWidth="1"/>
    <col min="10" max="10" width="30" bestFit="1" customWidth="1"/>
    <col min="11" max="12" width="1.85546875" bestFit="1" customWidth="1"/>
    <col min="13" max="13" width="2.5703125" customWidth="1"/>
    <col min="14" max="16384" width="8.85546875" hidden="1"/>
  </cols>
  <sheetData>
    <row r="1" spans="1:12" ht="63" x14ac:dyDescent="0.25">
      <c r="A1" s="11" t="s">
        <v>27</v>
      </c>
      <c r="B1" s="11" t="s">
        <v>192</v>
      </c>
      <c r="C1" s="11" t="s">
        <v>9</v>
      </c>
      <c r="D1" s="11" t="s">
        <v>31</v>
      </c>
      <c r="E1" s="11" t="s">
        <v>193</v>
      </c>
      <c r="F1" s="11" t="s">
        <v>194</v>
      </c>
      <c r="G1" s="11" t="s">
        <v>195</v>
      </c>
      <c r="I1" s="89" t="s">
        <v>196</v>
      </c>
      <c r="J1" s="90"/>
      <c r="K1" s="90"/>
      <c r="L1" s="91"/>
    </row>
    <row r="2" spans="1:12" x14ac:dyDescent="0.25">
      <c r="A2" t="s">
        <v>106</v>
      </c>
      <c r="B2" s="5" t="str">
        <f>'County Calculator'!B16</f>
        <v>Avery County</v>
      </c>
      <c r="C2" s="5" t="str">
        <f>VLOOKUP($B$2,'County Commitment Forms-Max-Min'!$A$3:$X$103,18,FALSE)</f>
        <v>Scenario 4: County Share 5%</v>
      </c>
      <c r="D2" s="5" t="str">
        <f>MID(C2,10,1)</f>
        <v>4</v>
      </c>
      <c r="E2" s="5" t="str">
        <f>IFERROR(VLOOKUP(C2,$I$2:$J$6,2,FALSE),"")</f>
        <v>Option A: Provider Share 15%</v>
      </c>
      <c r="F2" s="5">
        <f>IF('County Calculator'!C16&lt;&gt;J4,1,0)</f>
        <v>1</v>
      </c>
      <c r="G2" s="5">
        <f>IF(D2=1,1,IF(F2=1,1,0))</f>
        <v>1</v>
      </c>
      <c r="I2" t="s">
        <v>81</v>
      </c>
      <c r="J2" t="s">
        <v>197</v>
      </c>
      <c r="K2">
        <v>1</v>
      </c>
      <c r="L2">
        <v>1</v>
      </c>
    </row>
    <row r="3" spans="1:12" x14ac:dyDescent="0.25">
      <c r="A3" t="s">
        <v>107</v>
      </c>
      <c r="B3" s="5"/>
      <c r="C3" s="5" t="str">
        <f>VLOOKUP($B$2,'County Commitment Forms-Max-Min'!$A$3:$X$103,24,FALSE)</f>
        <v>Scenario 5: County Share 42.5%</v>
      </c>
      <c r="D3" s="5">
        <f>D2*1</f>
        <v>4</v>
      </c>
      <c r="E3" s="5" t="str">
        <f>IFERROR(VLOOKUP(C3,$I$2:$J$6,2,FALSE),"")</f>
        <v>Option B: Provider Share Over 15%</v>
      </c>
      <c r="F3" s="5"/>
      <c r="G3" s="5"/>
      <c r="I3" t="s">
        <v>84</v>
      </c>
      <c r="J3" t="s">
        <v>11</v>
      </c>
      <c r="K3">
        <v>1</v>
      </c>
      <c r="L3">
        <v>2</v>
      </c>
    </row>
    <row r="4" spans="1:12" x14ac:dyDescent="0.25">
      <c r="A4" t="s">
        <v>108</v>
      </c>
      <c r="I4" t="s">
        <v>86</v>
      </c>
      <c r="J4" t="s">
        <v>198</v>
      </c>
      <c r="K4">
        <v>0</v>
      </c>
      <c r="L4">
        <v>3</v>
      </c>
    </row>
    <row r="5" spans="1:12" x14ac:dyDescent="0.25">
      <c r="A5" t="s">
        <v>109</v>
      </c>
      <c r="I5" t="s">
        <v>89</v>
      </c>
      <c r="J5" t="s">
        <v>11</v>
      </c>
      <c r="K5">
        <v>1</v>
      </c>
      <c r="L5">
        <v>4</v>
      </c>
    </row>
    <row r="6" spans="1:12" x14ac:dyDescent="0.25">
      <c r="A6" t="s">
        <v>110</v>
      </c>
      <c r="I6" t="s">
        <v>91</v>
      </c>
      <c r="J6" t="s">
        <v>198</v>
      </c>
      <c r="K6">
        <v>0</v>
      </c>
      <c r="L6">
        <v>5</v>
      </c>
    </row>
    <row r="7" spans="1:12" x14ac:dyDescent="0.25">
      <c r="A7" t="s">
        <v>10</v>
      </c>
    </row>
    <row r="8" spans="1:12" x14ac:dyDescent="0.25">
      <c r="A8" t="s">
        <v>53</v>
      </c>
    </row>
    <row r="9" spans="1:12" x14ac:dyDescent="0.25">
      <c r="A9" t="s">
        <v>111</v>
      </c>
    </row>
    <row r="10" spans="1:12" x14ac:dyDescent="0.25">
      <c r="A10" t="s">
        <v>112</v>
      </c>
    </row>
    <row r="11" spans="1:12" x14ac:dyDescent="0.25">
      <c r="A11" t="s">
        <v>113</v>
      </c>
    </row>
    <row r="12" spans="1:12" x14ac:dyDescent="0.25">
      <c r="A12" t="s">
        <v>58</v>
      </c>
    </row>
    <row r="13" spans="1:12" x14ac:dyDescent="0.25">
      <c r="A13" t="s">
        <v>62</v>
      </c>
    </row>
    <row r="14" spans="1:12" x14ac:dyDescent="0.25">
      <c r="A14" t="s">
        <v>66</v>
      </c>
    </row>
    <row r="15" spans="1:12" x14ac:dyDescent="0.25">
      <c r="A15" t="s">
        <v>69</v>
      </c>
    </row>
    <row r="16" spans="1:12" x14ac:dyDescent="0.25">
      <c r="A16" t="s">
        <v>114</v>
      </c>
    </row>
    <row r="17" spans="1:1" x14ac:dyDescent="0.25">
      <c r="A17" t="s">
        <v>115</v>
      </c>
    </row>
    <row r="18" spans="1:1" x14ac:dyDescent="0.25">
      <c r="A18" t="s">
        <v>70</v>
      </c>
    </row>
    <row r="19" spans="1:1" x14ac:dyDescent="0.25">
      <c r="A19" t="s">
        <v>116</v>
      </c>
    </row>
    <row r="20" spans="1:1" x14ac:dyDescent="0.25">
      <c r="A20" t="s">
        <v>117</v>
      </c>
    </row>
    <row r="21" spans="1:1" x14ac:dyDescent="0.25">
      <c r="A21" t="s">
        <v>118</v>
      </c>
    </row>
    <row r="22" spans="1:1" x14ac:dyDescent="0.25">
      <c r="A22" t="s">
        <v>71</v>
      </c>
    </row>
    <row r="23" spans="1:1" x14ac:dyDescent="0.25">
      <c r="A23" t="s">
        <v>119</v>
      </c>
    </row>
    <row r="24" spans="1:1" x14ac:dyDescent="0.25">
      <c r="A24" t="s">
        <v>72</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73</v>
      </c>
    </row>
    <row r="35" spans="1:1" x14ac:dyDescent="0.25">
      <c r="A35" t="s">
        <v>129</v>
      </c>
    </row>
    <row r="36" spans="1:1" x14ac:dyDescent="0.25">
      <c r="A36" t="s">
        <v>74</v>
      </c>
    </row>
    <row r="37" spans="1:1" x14ac:dyDescent="0.25">
      <c r="A37" t="s">
        <v>130</v>
      </c>
    </row>
    <row r="38" spans="1:1" x14ac:dyDescent="0.25">
      <c r="A38" t="s">
        <v>79</v>
      </c>
    </row>
    <row r="39" spans="1:1" x14ac:dyDescent="0.25">
      <c r="A39" t="s">
        <v>131</v>
      </c>
    </row>
    <row r="40" spans="1:1" x14ac:dyDescent="0.25">
      <c r="A40" t="s">
        <v>82</v>
      </c>
    </row>
    <row r="41" spans="1:1" x14ac:dyDescent="0.25">
      <c r="A41" t="s">
        <v>132</v>
      </c>
    </row>
    <row r="42" spans="1:1" x14ac:dyDescent="0.25">
      <c r="A42" t="s">
        <v>133</v>
      </c>
    </row>
    <row r="43" spans="1:1" x14ac:dyDescent="0.25">
      <c r="A43" t="s">
        <v>134</v>
      </c>
    </row>
    <row r="44" spans="1:1" x14ac:dyDescent="0.25">
      <c r="A44" t="s">
        <v>85</v>
      </c>
    </row>
    <row r="45" spans="1:1" x14ac:dyDescent="0.25">
      <c r="A45" t="s">
        <v>87</v>
      </c>
    </row>
    <row r="46" spans="1:1" x14ac:dyDescent="0.25">
      <c r="A46" t="s">
        <v>135</v>
      </c>
    </row>
    <row r="47" spans="1:1" x14ac:dyDescent="0.25">
      <c r="A47" t="s">
        <v>136</v>
      </c>
    </row>
    <row r="48" spans="1:1" x14ac:dyDescent="0.25">
      <c r="A48" t="s">
        <v>137</v>
      </c>
    </row>
    <row r="49" spans="1:1" x14ac:dyDescent="0.25">
      <c r="A49" t="s">
        <v>138</v>
      </c>
    </row>
    <row r="50" spans="1:1" x14ac:dyDescent="0.25">
      <c r="A50" t="s">
        <v>139</v>
      </c>
    </row>
    <row r="51" spans="1:1" x14ac:dyDescent="0.25">
      <c r="A51" t="s">
        <v>140</v>
      </c>
    </row>
    <row r="52" spans="1:1" x14ac:dyDescent="0.25">
      <c r="A52" t="s">
        <v>141</v>
      </c>
    </row>
    <row r="53" spans="1:1" x14ac:dyDescent="0.25">
      <c r="A53" t="s">
        <v>90</v>
      </c>
    </row>
    <row r="54" spans="1:1" x14ac:dyDescent="0.25">
      <c r="A54" t="s">
        <v>92</v>
      </c>
    </row>
    <row r="55" spans="1:1" x14ac:dyDescent="0.25">
      <c r="A55" t="s">
        <v>142</v>
      </c>
    </row>
    <row r="56" spans="1:1" x14ac:dyDescent="0.25">
      <c r="A56" t="s">
        <v>143</v>
      </c>
    </row>
    <row r="57" spans="1:1" x14ac:dyDescent="0.25">
      <c r="A57" t="s">
        <v>144</v>
      </c>
    </row>
    <row r="58" spans="1:1" x14ac:dyDescent="0.25">
      <c r="A58" t="s">
        <v>145</v>
      </c>
    </row>
    <row r="59" spans="1:1" x14ac:dyDescent="0.25">
      <c r="A59" t="s">
        <v>146</v>
      </c>
    </row>
    <row r="60" spans="1:1" x14ac:dyDescent="0.25">
      <c r="A60" t="s">
        <v>93</v>
      </c>
    </row>
    <row r="61" spans="1:1" x14ac:dyDescent="0.25">
      <c r="A61" t="s">
        <v>147</v>
      </c>
    </row>
    <row r="62" spans="1:1" x14ac:dyDescent="0.25">
      <c r="A62" t="s">
        <v>148</v>
      </c>
    </row>
    <row r="63" spans="1:1" x14ac:dyDescent="0.25">
      <c r="A63" t="s">
        <v>149</v>
      </c>
    </row>
    <row r="64" spans="1:1" x14ac:dyDescent="0.25">
      <c r="A64" t="s">
        <v>150</v>
      </c>
    </row>
    <row r="65" spans="1:1" x14ac:dyDescent="0.25">
      <c r="A65" t="s">
        <v>151</v>
      </c>
    </row>
    <row r="66" spans="1:1" x14ac:dyDescent="0.25">
      <c r="A66" t="s">
        <v>152</v>
      </c>
    </row>
    <row r="67" spans="1:1" x14ac:dyDescent="0.25">
      <c r="A67" t="s">
        <v>153</v>
      </c>
    </row>
    <row r="68" spans="1:1" x14ac:dyDescent="0.25">
      <c r="A68" t="s">
        <v>154</v>
      </c>
    </row>
    <row r="69" spans="1:1" x14ac:dyDescent="0.25">
      <c r="A69" t="s">
        <v>155</v>
      </c>
    </row>
    <row r="70" spans="1:1" x14ac:dyDescent="0.25">
      <c r="A70" t="s">
        <v>94</v>
      </c>
    </row>
    <row r="71" spans="1:1" x14ac:dyDescent="0.25">
      <c r="A71" t="s">
        <v>95</v>
      </c>
    </row>
    <row r="72" spans="1:1" x14ac:dyDescent="0.25">
      <c r="A72" t="s">
        <v>156</v>
      </c>
    </row>
    <row r="73" spans="1:1" x14ac:dyDescent="0.25">
      <c r="A73" t="s">
        <v>98</v>
      </c>
    </row>
    <row r="74" spans="1:1" x14ac:dyDescent="0.25">
      <c r="A74" t="s">
        <v>99</v>
      </c>
    </row>
    <row r="75" spans="1:1" x14ac:dyDescent="0.25">
      <c r="A75" t="s">
        <v>100</v>
      </c>
    </row>
    <row r="76" spans="1:1" x14ac:dyDescent="0.25">
      <c r="A76" t="s">
        <v>101</v>
      </c>
    </row>
    <row r="77" spans="1:1" x14ac:dyDescent="0.25">
      <c r="A77" t="s">
        <v>157</v>
      </c>
    </row>
    <row r="78" spans="1:1" x14ac:dyDescent="0.25">
      <c r="A78" t="s">
        <v>158</v>
      </c>
    </row>
    <row r="79" spans="1:1" x14ac:dyDescent="0.25">
      <c r="A79" t="s">
        <v>159</v>
      </c>
    </row>
    <row r="80" spans="1:1" x14ac:dyDescent="0.25">
      <c r="A80" t="s">
        <v>160</v>
      </c>
    </row>
    <row r="81" spans="1:1" x14ac:dyDescent="0.25">
      <c r="A81" t="s">
        <v>161</v>
      </c>
    </row>
    <row r="82" spans="1:1" x14ac:dyDescent="0.25">
      <c r="A82" t="s">
        <v>162</v>
      </c>
    </row>
    <row r="83" spans="1:1" x14ac:dyDescent="0.25">
      <c r="A83" t="s">
        <v>163</v>
      </c>
    </row>
    <row r="84" spans="1:1" x14ac:dyDescent="0.25">
      <c r="A84" t="s">
        <v>164</v>
      </c>
    </row>
    <row r="85" spans="1:1" x14ac:dyDescent="0.25">
      <c r="A85" t="s">
        <v>102</v>
      </c>
    </row>
    <row r="86" spans="1:1" x14ac:dyDescent="0.25">
      <c r="A86" t="s">
        <v>165</v>
      </c>
    </row>
    <row r="87" spans="1:1" x14ac:dyDescent="0.25">
      <c r="A87" t="s">
        <v>166</v>
      </c>
    </row>
    <row r="88" spans="1:1" x14ac:dyDescent="0.25">
      <c r="A88" t="s">
        <v>103</v>
      </c>
    </row>
    <row r="89" spans="1:1" x14ac:dyDescent="0.25">
      <c r="A89" t="s">
        <v>167</v>
      </c>
    </row>
    <row r="90" spans="1:1" x14ac:dyDescent="0.25">
      <c r="A90" t="s">
        <v>168</v>
      </c>
    </row>
    <row r="91" spans="1:1" x14ac:dyDescent="0.25">
      <c r="A91" t="s">
        <v>104</v>
      </c>
    </row>
    <row r="92" spans="1:1" x14ac:dyDescent="0.25">
      <c r="A92" t="s">
        <v>169</v>
      </c>
    </row>
    <row r="93" spans="1:1" x14ac:dyDescent="0.25">
      <c r="A93" t="s">
        <v>105</v>
      </c>
    </row>
    <row r="94" spans="1:1" x14ac:dyDescent="0.25">
      <c r="A94" t="s">
        <v>170</v>
      </c>
    </row>
    <row r="95" spans="1:1" x14ac:dyDescent="0.25">
      <c r="A95" t="s">
        <v>171</v>
      </c>
    </row>
    <row r="96" spans="1:1" x14ac:dyDescent="0.25">
      <c r="A96" t="s">
        <v>172</v>
      </c>
    </row>
    <row r="97" spans="1:1" x14ac:dyDescent="0.25">
      <c r="A97" t="s">
        <v>173</v>
      </c>
    </row>
    <row r="98" spans="1:1" x14ac:dyDescent="0.25">
      <c r="A98" t="s">
        <v>174</v>
      </c>
    </row>
    <row r="99" spans="1:1" x14ac:dyDescent="0.25">
      <c r="A99" t="s">
        <v>175</v>
      </c>
    </row>
    <row r="100" spans="1:1" x14ac:dyDescent="0.25">
      <c r="A100" t="s">
        <v>176</v>
      </c>
    </row>
    <row r="101" spans="1:1" x14ac:dyDescent="0.25">
      <c r="A101" t="s">
        <v>177</v>
      </c>
    </row>
  </sheetData>
  <sheetProtection algorithmName="SHA-512" hashValue="FelGWj78QIBih67zSgpnCE5QLRoXVWpvQS/ujhy0HEnY3dOpX5jr6f7BPYVy4nQZ54gS1HGHwn+7P0u4b+MmEQ==" saltValue="dwuT8g9TkCrlIozn+vuqow==" spinCount="100000" sheet="1" objects="1" scenarios="1"/>
  <sortState xmlns:xlrd2="http://schemas.microsoft.com/office/spreadsheetml/2017/richdata2" ref="A2:A101">
    <sortCondition ref="A2:A101"/>
  </sortState>
  <mergeCells count="1">
    <mergeCell ref="I1:L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A0B4292BF1B342BD6B51D6677B5813" ma:contentTypeVersion="4" ma:contentTypeDescription="Create a new document." ma:contentTypeScope="" ma:versionID="4616d5550a43d5aefe7876ae1824e0bb">
  <xsd:schema xmlns:xsd="http://www.w3.org/2001/XMLSchema" xmlns:xs="http://www.w3.org/2001/XMLSchema" xmlns:p="http://schemas.microsoft.com/office/2006/metadata/properties" xmlns:ns2="c184b8d2-6fa5-46b4-93ed-ea28274ab9c5" targetNamespace="http://schemas.microsoft.com/office/2006/metadata/properties" ma:root="true" ma:fieldsID="77b494869901547a13f3a321f4206cc7" ns2:_="">
    <xsd:import namespace="c184b8d2-6fa5-46b4-93ed-ea28274ab9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4b8d2-6fa5-46b4-93ed-ea28274ab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1EA982-ECD1-4DD9-ADCE-4B4A130DDF31}">
  <ds:schemaRefs>
    <ds:schemaRef ds:uri="http://www.w3.org/XML/1998/namespac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c184b8d2-6fa5-46b4-93ed-ea28274ab9c5"/>
    <ds:schemaRef ds:uri="http://purl.org/dc/dcmitype/"/>
  </ds:schemaRefs>
</ds:datastoreItem>
</file>

<file path=customXml/itemProps2.xml><?xml version="1.0" encoding="utf-8"?>
<ds:datastoreItem xmlns:ds="http://schemas.openxmlformats.org/officeDocument/2006/customXml" ds:itemID="{94C146D6-B0A2-4016-AB40-6403A484CDD7}">
  <ds:schemaRefs>
    <ds:schemaRef ds:uri="http://schemas.microsoft.com/sharepoint/v3/contenttype/forms"/>
  </ds:schemaRefs>
</ds:datastoreItem>
</file>

<file path=customXml/itemProps3.xml><?xml version="1.0" encoding="utf-8"?>
<ds:datastoreItem xmlns:ds="http://schemas.openxmlformats.org/officeDocument/2006/customXml" ds:itemID="{850A33DE-C116-4718-A866-31950407B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4b8d2-6fa5-46b4-93ed-ea28274ab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County Calculator</vt:lpstr>
      <vt:lpstr>County Commitment Forms-Max-Min</vt:lpstr>
      <vt:lpstr>County Contribution Actual</vt:lpstr>
      <vt:lpstr>County Funding Level </vt:lpstr>
      <vt:lpstr>County Commitment Forms-Actual</vt:lpstr>
      <vt:lpstr>Logic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Gerger, Shanon M</dc:creator>
  <cp:keywords/>
  <dc:description/>
  <cp:lastModifiedBy>Dickerson, Cristalle H</cp:lastModifiedBy>
  <cp:revision/>
  <dcterms:created xsi:type="dcterms:W3CDTF">2023-12-01T21:05:06Z</dcterms:created>
  <dcterms:modified xsi:type="dcterms:W3CDTF">2024-04-30T16:06:41Z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0x01010021A0B4292BF1B342BD6B51D6677B5813</vt:lpwstr>
  </property>
  <property fmtid="{D5CDD505-2E9C-101B-9397-08002B2CF9AE}" pid="3" name="MediaServiceImageTags">
    <vt:lpwstr/>
  </property>
</Properties>
</file>